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311" windowWidth="11400" windowHeight="12120" tabRatio="617" activeTab="0"/>
  </bookViews>
  <sheets>
    <sheet name="Disclaimer" sheetId="1" r:id="rId1"/>
    <sheet name="CORTEC" sheetId="2" r:id="rId2"/>
    <sheet name="Configurator" sheetId="3" r:id="rId3"/>
    <sheet name="Database" sheetId="4" state="hidden" r:id="rId4"/>
    <sheet name="Master Text" sheetId="5" r:id="rId5"/>
    <sheet name="Date Drivers" sheetId="6" state="hidden" r:id="rId6"/>
  </sheets>
  <definedNames>
    <definedName name="_xlfn.IFERROR" hidden="1">#NAME?</definedName>
  </definedNames>
  <calcPr fullCalcOnLoad="1"/>
</workbook>
</file>

<file path=xl/sharedStrings.xml><?xml version="1.0" encoding="utf-8"?>
<sst xmlns="http://schemas.openxmlformats.org/spreadsheetml/2006/main" count="318" uniqueCount="121">
  <si>
    <t>Phase current transformer CT1</t>
  </si>
  <si>
    <t>Phase current transformer CT2</t>
  </si>
  <si>
    <t>Phase current transformer CT3</t>
  </si>
  <si>
    <t>Earth current transformer CT-GND1</t>
  </si>
  <si>
    <t>Earth current transformer CT-GND2</t>
  </si>
  <si>
    <t>Analog Inputs and Outputs</t>
  </si>
  <si>
    <t>Communication - Interfaces</t>
  </si>
  <si>
    <t>Connectors U/I-measuring</t>
  </si>
  <si>
    <t>Menu language</t>
  </si>
  <si>
    <t>A</t>
  </si>
  <si>
    <t>B</t>
  </si>
  <si>
    <t>C</t>
  </si>
  <si>
    <t>D</t>
  </si>
  <si>
    <t>Control and interlocking:</t>
  </si>
  <si>
    <t>P162</t>
  </si>
  <si>
    <t>CT1: 1 A secondary, rated current</t>
  </si>
  <si>
    <t>CT1: 5 A secondary, rated current</t>
  </si>
  <si>
    <t>CT-GND1: 1 A secondary, rated current</t>
  </si>
  <si>
    <t>CT-GND1: 5 A secondary, rated current</t>
  </si>
  <si>
    <t>Firmware version (FW)</t>
  </si>
  <si>
    <t>Hardware version (HW)</t>
  </si>
  <si>
    <t>Dimensions:</t>
  </si>
  <si>
    <t>Dimensions front plate (WxHxD): (210x250x4)mm</t>
  </si>
  <si>
    <t>Cutout (WxH): (192x232)mm</t>
  </si>
  <si>
    <t>LED indication:</t>
  </si>
  <si>
    <t>3 status-LEDs (Trip: red/Alarm: red-flashing/System: red/green)</t>
  </si>
  <si>
    <t>8 LED indications (parametrizable, red/green)</t>
  </si>
  <si>
    <t>Membrane keyboard:</t>
  </si>
  <si>
    <t>Display:</t>
  </si>
  <si>
    <t>Graphical LC-Display/Touchscreen (320x240 pixel)</t>
  </si>
  <si>
    <t xml:space="preserve">Communication interfaces:  </t>
  </si>
  <si>
    <t>1 x USB interface  (front plate; parameter setting)</t>
  </si>
  <si>
    <t>Protective functions:</t>
  </si>
  <si>
    <t xml:space="preserve">Voltage measurement: </t>
  </si>
  <si>
    <t>Binary inputs:</t>
  </si>
  <si>
    <t>Binary outputs:</t>
  </si>
  <si>
    <t xml:space="preserve"> 12 (potential-free contacts)</t>
  </si>
  <si>
    <t xml:space="preserve"> 1 x PT-GND1 (1-phase:meas. ranges: 50 to 200V AC and 200 to 700V AC; parametrizable)</t>
  </si>
  <si>
    <t>Indirect Control: 5 switching devices;</t>
  </si>
  <si>
    <t>Field interlocking: 8 switching devices</t>
  </si>
  <si>
    <t>12 (potential-free contacts)</t>
  </si>
  <si>
    <t>48VDC</t>
  </si>
  <si>
    <t>60V DC</t>
  </si>
  <si>
    <t>24V DC</t>
  </si>
  <si>
    <t>Communication - SCADA Port-1</t>
  </si>
  <si>
    <t>IEC 60870-5-103; RS485</t>
  </si>
  <si>
    <t>Communication - SCADA Port-2</t>
  </si>
  <si>
    <t>Communication - SCADA Port-3</t>
  </si>
  <si>
    <t>18 (Ur: 24/48/60/220V DC; 110V AC/DC; /230V AC: parametrizable)</t>
  </si>
  <si>
    <t>6 x memebrane keys (menu navigation/parameter setting/Reset/ON/OFF)</t>
  </si>
  <si>
    <t>DEVICE PERFORMANCE</t>
  </si>
  <si>
    <t xml:space="preserve">Non-directional overcurrent &amp; directional Earth fault </t>
  </si>
  <si>
    <t>CT1-MP: 1 A secondary, rated current (M: 0-3×In, P: 0-32×In)</t>
  </si>
  <si>
    <t>CT1-MP: 5 A secondary, rated current (M: 0-3×In, P: 0-32×In)</t>
  </si>
  <si>
    <t>CT-GND1: 2 - 3000mA, secondary rated current</t>
  </si>
  <si>
    <t>110-220V DC; 110-230V AC</t>
  </si>
  <si>
    <t>I-measuring connector without integrated short-circuiters</t>
  </si>
  <si>
    <t>E</t>
  </si>
  <si>
    <t>F</t>
  </si>
  <si>
    <t>IEC 60870-5-103; Fiber optic</t>
  </si>
  <si>
    <t xml:space="preserve">Our policy is one of continuous development. Accordingly the design of our products may change at any time. </t>
  </si>
  <si>
    <t>Whilst every effort is made to produce up to date literature, this document should only be regarded as a guide and is intended for information purposes only.</t>
  </si>
  <si>
    <t>Its contents do not constitute an offer for sale or advice on the application of any product referred to in it. We cannot be held responsible for any reliance on any decisions taken on its contents without specific advice.</t>
  </si>
  <si>
    <t>Key Date</t>
  </si>
  <si>
    <t>Information required with order</t>
  </si>
  <si>
    <t>Variants</t>
  </si>
  <si>
    <t>Application:</t>
  </si>
  <si>
    <t xml:space="preserve">Without </t>
  </si>
  <si>
    <t>Modbus RTU; RS485; half-duplex</t>
  </si>
  <si>
    <t>Without</t>
  </si>
  <si>
    <t>English, German</t>
  </si>
  <si>
    <t>Reserved</t>
  </si>
  <si>
    <t>Power supply -device</t>
  </si>
  <si>
    <t>Binary inputs</t>
  </si>
  <si>
    <t>Binary outputs</t>
  </si>
  <si>
    <t>Phase current transformer CT1:</t>
  </si>
  <si>
    <t>Phase current transformer CT2:</t>
  </si>
  <si>
    <t>Phase current transformer CT3:</t>
  </si>
  <si>
    <t>Earth current transformer CT-GND1:</t>
  </si>
  <si>
    <t>Earth current transformer CT-GND2:</t>
  </si>
  <si>
    <t>Power supply:</t>
  </si>
  <si>
    <t>Communication - SCADA Port-1:</t>
  </si>
  <si>
    <t>Communication - SCADA Port-2:</t>
  </si>
  <si>
    <t>Communication - SCADA Port-3:</t>
  </si>
  <si>
    <t>Communication - Interfaces:</t>
  </si>
  <si>
    <t>Connectors U/I-measuring:</t>
  </si>
  <si>
    <t>Firmware version (FW):</t>
  </si>
  <si>
    <t>Hardware version (HW):</t>
  </si>
  <si>
    <t>Menu language:</t>
  </si>
  <si>
    <t>ADDITIONAL INFORMATION</t>
  </si>
  <si>
    <t>Protection and control system</t>
  </si>
  <si>
    <t xml:space="preserve">Current measurement: </t>
  </si>
  <si>
    <t>Base date</t>
  </si>
  <si>
    <t>*</t>
  </si>
  <si>
    <t>Analog Inputs and Outputs:</t>
  </si>
  <si>
    <t>Power supply - device:</t>
  </si>
  <si>
    <t>RESERVED (18 TO 24) &amp; 26</t>
  </si>
  <si>
    <t>Issue :</t>
  </si>
  <si>
    <t xml:space="preserve">P162 P60 Agile Non-directional overcurrent &amp; directional Earth fault </t>
  </si>
  <si>
    <t xml:space="preserve">P60 Agile Non-directional overcurrent &amp; directional Earth fault </t>
  </si>
  <si>
    <t>IEC 61850 (single), FO &amp; RJ45</t>
  </si>
  <si>
    <t>IEC 61850 (single), RJ45</t>
  </si>
  <si>
    <t>IEC 61850 (single), FO</t>
  </si>
  <si>
    <t>IEC 61850 (redundancy), RJ45</t>
  </si>
  <si>
    <t>IEC 61850 (redundancy), FO</t>
  </si>
  <si>
    <t>1</t>
  </si>
  <si>
    <t>Housing dimensions (WxHxD): (210x250x95)mm</t>
  </si>
  <si>
    <t>18 (Ur: 24/48/60/110/220V DC; 110V/230V AC: Parametrizable)</t>
  </si>
  <si>
    <t>Not Used</t>
  </si>
  <si>
    <t>Initial release - 27/02/2014</t>
  </si>
  <si>
    <t>Update to software reference - 10/03/2014</t>
  </si>
  <si>
    <t>Update to master text product description - 19/03/2014</t>
  </si>
  <si>
    <t>English, German, Polish</t>
  </si>
  <si>
    <t>Revised firmware with feature enhancements (FW v1.0-1.1.3.x under Firmware version suffix ‘A’) including Polish language released by CID MBAM- 9S2GPX- 22/12/2014</t>
  </si>
  <si>
    <t>CT1-MP: 1 A secondary, rated current (M: 0-2×In, P: 0-32×In)</t>
  </si>
  <si>
    <t>CT1-MP: 5 A secondary, rated current (M: 0-2×In, P: 0-32×In)</t>
  </si>
  <si>
    <t>Latest version</t>
  </si>
  <si>
    <t>Latest version: v1-2.x</t>
  </si>
  <si>
    <t>Firmware/hardware descriptions standardised - 20/01/2016</t>
  </si>
  <si>
    <t>THIS PRODUCT IS NOW OBSOLETE</t>
  </si>
  <si>
    <t>P162 Obsolete 28/12/2018 - CID005663, GE Publication No. GER-4844</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</si>
</sst>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quot;Yes&quot;;&quot;Yes&quot;;&quot;No&quot;"/>
    <numFmt numFmtId="166" formatCode="&quot;True&quot;;&quot;True&quot;;&quot;False&quot;"/>
    <numFmt numFmtId="167" formatCode="&quot;On&quot;;&quot;On&quot;;&quot;Off&quot;"/>
    <numFmt numFmtId="168" formatCode="[$€-2]\ #,##0.00_);[Red]\([$€-2]\ #,##0.00\)"/>
  </numFmts>
  <fonts count="56">
    <font>
      <sz val="11"/>
      <color theme="1"/>
      <name val="Calibri"/>
      <family val="2"/>
    </font>
    <font>
      <sz val="10"/>
      <color indexed="8"/>
      <name val="Arial"/>
      <family val="2"/>
    </font>
    <font>
      <sz val="10"/>
      <name val="Arial"/>
      <family val="2"/>
    </font>
    <font>
      <sz val="11"/>
      <name val="Arial"/>
      <family val="2"/>
    </font>
    <font>
      <sz val="9"/>
      <name val="Arial"/>
      <family val="2"/>
    </font>
    <font>
      <b/>
      <sz val="10"/>
      <name val="Arial"/>
      <family val="2"/>
    </font>
    <font>
      <sz val="11"/>
      <color indexed="8"/>
      <name val="Calibri"/>
      <family val="2"/>
    </font>
    <font>
      <sz val="10"/>
      <color indexed="9"/>
      <name val="Arial"/>
      <family val="2"/>
    </font>
    <font>
      <b/>
      <sz val="10"/>
      <color indexed="8"/>
      <name val="Arial"/>
      <family val="2"/>
    </font>
    <font>
      <sz val="11"/>
      <color indexed="8"/>
      <name val="Arial"/>
      <family val="2"/>
    </font>
    <font>
      <sz val="9"/>
      <color indexed="8"/>
      <name val="Arial"/>
      <family val="2"/>
    </font>
    <font>
      <b/>
      <sz val="9"/>
      <color indexed="10"/>
      <name val="Arial"/>
      <family val="2"/>
    </font>
    <font>
      <b/>
      <sz val="9"/>
      <color indexed="8"/>
      <name val="Arial"/>
      <family val="2"/>
    </font>
    <font>
      <sz val="11"/>
      <color indexed="30"/>
      <name val="Arial"/>
      <family val="2"/>
    </font>
    <font>
      <b/>
      <sz val="14"/>
      <color indexed="10"/>
      <name val="Arial"/>
      <family val="2"/>
    </font>
    <font>
      <sz val="12"/>
      <color indexed="8"/>
      <name val="Arial"/>
      <family val="2"/>
    </font>
    <font>
      <b/>
      <sz val="14"/>
      <color indexed="8"/>
      <name val="Arial"/>
      <family val="2"/>
    </font>
    <font>
      <sz val="14"/>
      <color indexed="8"/>
      <name val="Arial"/>
      <family val="2"/>
    </font>
    <font>
      <b/>
      <sz val="11"/>
      <color indexed="8"/>
      <name val="Arial"/>
      <family val="2"/>
    </font>
    <font>
      <sz val="11"/>
      <color indexed="10"/>
      <name val="Arial"/>
      <family val="2"/>
    </font>
    <font>
      <b/>
      <sz val="12"/>
      <color indexed="10"/>
      <name val="Arial"/>
      <family val="2"/>
    </font>
    <font>
      <b/>
      <sz val="12"/>
      <color indexed="12"/>
      <name val="Arial"/>
      <family val="2"/>
    </font>
    <font>
      <b/>
      <sz val="11"/>
      <color indexed="12"/>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13"/>
        <bgColor indexed="64"/>
      </patternFill>
    </fill>
    <fill>
      <patternFill patternType="solid">
        <fgColor indexed="23"/>
        <bgColor indexed="64"/>
      </patternFill>
    </fill>
    <fill>
      <patternFill patternType="gray125">
        <bgColor indexed="55"/>
      </patternFill>
    </fill>
    <fill>
      <patternFill patternType="gray125">
        <bgColor indexed="23"/>
      </patternFill>
    </fill>
    <fill>
      <patternFill patternType="gray125">
        <bgColor indexed="22"/>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right/>
      <top/>
      <bottom style="thin"/>
    </border>
    <border>
      <left style="medium"/>
      <right>
        <color indexed="63"/>
      </right>
      <top>
        <color indexed="63"/>
      </top>
      <bottom>
        <color indexed="63"/>
      </bottom>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style="thick"/>
      <right>
        <color indexed="63"/>
      </right>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s>
  <cellStyleXfs count="64">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6" fillId="32" borderId="7" applyNumberFormat="0" applyFont="0" applyAlignment="0" applyProtection="0"/>
    <xf numFmtId="0" fontId="51" fillId="27" borderId="8" applyNumberFormat="0" applyAlignment="0" applyProtection="0"/>
    <xf numFmtId="9" fontId="6"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1">
    <xf numFmtId="0" fontId="0" fillId="0" borderId="0" xfId="0" applyFont="1" applyAlignment="1">
      <alignment/>
    </xf>
    <xf numFmtId="0" fontId="3" fillId="0" borderId="0" xfId="57">
      <alignment/>
      <protection/>
    </xf>
    <xf numFmtId="0" fontId="1" fillId="0" borderId="0" xfId="0" applyFont="1" applyAlignment="1">
      <alignment/>
    </xf>
    <xf numFmtId="0" fontId="1" fillId="0" borderId="0" xfId="0" applyFont="1" applyBorder="1" applyAlignment="1">
      <alignment/>
    </xf>
    <xf numFmtId="0" fontId="8" fillId="0" borderId="10" xfId="0" applyFont="1" applyBorder="1" applyAlignment="1">
      <alignment/>
    </xf>
    <xf numFmtId="0" fontId="8" fillId="0" borderId="11" xfId="0" applyFont="1" applyBorder="1" applyAlignment="1">
      <alignment/>
    </xf>
    <xf numFmtId="0" fontId="1" fillId="0" borderId="11" xfId="0" applyFont="1" applyBorder="1" applyAlignment="1">
      <alignment/>
    </xf>
    <xf numFmtId="0" fontId="2" fillId="0" borderId="12" xfId="0" applyNumberFormat="1" applyFont="1" applyBorder="1" applyAlignment="1">
      <alignment vertical="center"/>
    </xf>
    <xf numFmtId="0" fontId="1" fillId="0" borderId="12" xfId="0" applyFont="1" applyBorder="1" applyAlignment="1">
      <alignment/>
    </xf>
    <xf numFmtId="0" fontId="1" fillId="0" borderId="0" xfId="0" applyFont="1" applyAlignment="1">
      <alignment horizontal="center"/>
    </xf>
    <xf numFmtId="0" fontId="0" fillId="0" borderId="0" xfId="0" applyAlignment="1">
      <alignment horizontal="center"/>
    </xf>
    <xf numFmtId="0" fontId="1" fillId="0" borderId="1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33" borderId="0" xfId="0" applyFont="1" applyFill="1" applyBorder="1" applyAlignment="1">
      <alignment horizontal="center"/>
    </xf>
    <xf numFmtId="0" fontId="8" fillId="33" borderId="0" xfId="0" applyFont="1" applyFill="1" applyBorder="1" applyAlignment="1">
      <alignment horizontal="center"/>
    </xf>
    <xf numFmtId="0" fontId="0" fillId="33" borderId="0" xfId="0" applyFill="1" applyAlignment="1">
      <alignment horizontal="center"/>
    </xf>
    <xf numFmtId="0" fontId="1" fillId="33" borderId="0" xfId="0" applyFont="1" applyFill="1" applyAlignment="1">
      <alignment horizontal="center"/>
    </xf>
    <xf numFmtId="0" fontId="1" fillId="33" borderId="13" xfId="0" applyFont="1" applyFill="1" applyBorder="1" applyAlignment="1">
      <alignment horizontal="center"/>
    </xf>
    <xf numFmtId="0" fontId="1" fillId="0" borderId="0" xfId="0" applyFont="1" applyFill="1" applyBorder="1" applyAlignment="1">
      <alignment horizontal="center"/>
    </xf>
    <xf numFmtId="0" fontId="1" fillId="34" borderId="0" xfId="0" applyFont="1" applyFill="1" applyBorder="1" applyAlignment="1">
      <alignment horizontal="center"/>
    </xf>
    <xf numFmtId="0" fontId="8" fillId="34" borderId="0" xfId="0" applyFont="1" applyFill="1" applyBorder="1" applyAlignment="1">
      <alignment horizontal="center"/>
    </xf>
    <xf numFmtId="0" fontId="8" fillId="0" borderId="11" xfId="0" applyFont="1" applyBorder="1" applyAlignment="1">
      <alignment horizontal="center"/>
    </xf>
    <xf numFmtId="0" fontId="8" fillId="0" borderId="15" xfId="0" applyFont="1" applyBorder="1" applyAlignment="1">
      <alignment/>
    </xf>
    <xf numFmtId="0" fontId="1" fillId="0" borderId="16"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10" xfId="0" applyFont="1" applyBorder="1" applyAlignment="1">
      <alignment/>
    </xf>
    <xf numFmtId="0" fontId="7" fillId="35" borderId="0" xfId="0" applyFont="1" applyFill="1" applyAlignment="1">
      <alignment/>
    </xf>
    <xf numFmtId="0" fontId="8" fillId="0" borderId="14" xfId="0" applyFont="1" applyBorder="1" applyAlignment="1">
      <alignment horizontal="center"/>
    </xf>
    <xf numFmtId="16" fontId="1" fillId="0" borderId="14" xfId="0" applyNumberFormat="1" applyFont="1" applyBorder="1" applyAlignment="1" quotePrefix="1">
      <alignment horizontal="center"/>
    </xf>
    <xf numFmtId="0" fontId="9" fillId="0" borderId="0" xfId="0" applyFont="1" applyAlignment="1">
      <alignment/>
    </xf>
    <xf numFmtId="0" fontId="10" fillId="0" borderId="0" xfId="0" applyFont="1" applyAlignment="1">
      <alignment/>
    </xf>
    <xf numFmtId="14" fontId="11" fillId="0" borderId="13" xfId="0" applyNumberFormat="1" applyFont="1" applyBorder="1" applyAlignment="1">
      <alignment horizontal="center" vertical="center"/>
    </xf>
    <xf numFmtId="14" fontId="10" fillId="0" borderId="18" xfId="0" applyNumberFormat="1" applyFont="1" applyBorder="1" applyAlignment="1">
      <alignment horizontal="center" vertical="center"/>
    </xf>
    <xf numFmtId="0" fontId="12" fillId="0" borderId="11" xfId="0" applyFont="1" applyBorder="1" applyAlignment="1">
      <alignment/>
    </xf>
    <xf numFmtId="0" fontId="10" fillId="0" borderId="17" xfId="0" applyFont="1" applyBorder="1" applyAlignment="1" applyProtection="1">
      <alignment horizontal="center" vertical="center"/>
      <protection locked="0"/>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2" fillId="0" borderId="10" xfId="0" applyFont="1" applyBorder="1" applyAlignment="1">
      <alignment/>
    </xf>
    <xf numFmtId="0" fontId="4" fillId="0" borderId="19" xfId="0" applyNumberFormat="1" applyFont="1" applyBorder="1" applyAlignment="1">
      <alignment horizontal="center" vertical="center"/>
    </xf>
    <xf numFmtId="0" fontId="4" fillId="0" borderId="20" xfId="0" applyNumberFormat="1" applyFont="1" applyBorder="1" applyAlignment="1">
      <alignment horizontal="center" vertical="center"/>
    </xf>
    <xf numFmtId="0" fontId="10" fillId="0" borderId="11" xfId="0" applyFont="1" applyBorder="1" applyAlignment="1">
      <alignment/>
    </xf>
    <xf numFmtId="0" fontId="10" fillId="0" borderId="0" xfId="0" applyFont="1" applyAlignment="1">
      <alignment horizontal="center"/>
    </xf>
    <xf numFmtId="0" fontId="10" fillId="0" borderId="19" xfId="0" applyFont="1" applyBorder="1" applyAlignment="1">
      <alignment horizontal="center" vertic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18" xfId="0" applyFont="1" applyBorder="1" applyAlignment="1">
      <alignment horizontal="center"/>
    </xf>
    <xf numFmtId="0" fontId="10" fillId="0" borderId="13" xfId="0" applyFont="1" applyBorder="1" applyAlignment="1">
      <alignment horizont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21" xfId="0" applyFont="1" applyBorder="1" applyAlignment="1">
      <alignment horizontal="center"/>
    </xf>
    <xf numFmtId="0" fontId="12" fillId="0" borderId="14" xfId="0" applyFont="1" applyBorder="1" applyAlignment="1">
      <alignment/>
    </xf>
    <xf numFmtId="0" fontId="10" fillId="0" borderId="22" xfId="0" applyFont="1" applyBorder="1" applyAlignment="1">
      <alignment horizontal="center"/>
    </xf>
    <xf numFmtId="0" fontId="10" fillId="0" borderId="19" xfId="0" applyFont="1" applyBorder="1" applyAlignment="1">
      <alignment/>
    </xf>
    <xf numFmtId="0" fontId="10" fillId="0" borderId="20" xfId="0" applyFont="1" applyBorder="1" applyAlignment="1">
      <alignment/>
    </xf>
    <xf numFmtId="0" fontId="10" fillId="0" borderId="22" xfId="0" applyFont="1" applyBorder="1" applyAlignment="1">
      <alignment/>
    </xf>
    <xf numFmtId="0" fontId="12" fillId="0" borderId="0" xfId="0" applyFont="1" applyBorder="1" applyAlignment="1">
      <alignment/>
    </xf>
    <xf numFmtId="0" fontId="13" fillId="0" borderId="0" xfId="0" applyFont="1" applyAlignment="1">
      <alignment/>
    </xf>
    <xf numFmtId="0" fontId="10" fillId="36" borderId="14" xfId="0" applyFont="1" applyFill="1" applyBorder="1" applyAlignment="1">
      <alignment horizontal="center"/>
    </xf>
    <xf numFmtId="0" fontId="10" fillId="0" borderId="23" xfId="0" applyFont="1" applyBorder="1" applyAlignment="1">
      <alignment horizontal="center"/>
    </xf>
    <xf numFmtId="0" fontId="10" fillId="36" borderId="19" xfId="0" applyFont="1" applyFill="1" applyBorder="1" applyAlignment="1">
      <alignment horizontal="center"/>
    </xf>
    <xf numFmtId="0" fontId="10" fillId="0" borderId="10" xfId="0" applyFont="1" applyBorder="1" applyAlignment="1">
      <alignment/>
    </xf>
    <xf numFmtId="0" fontId="10" fillId="0" borderId="12" xfId="0" applyFont="1" applyBorder="1" applyAlignment="1">
      <alignment/>
    </xf>
    <xf numFmtId="0" fontId="12" fillId="36" borderId="14" xfId="0" applyFont="1" applyFill="1" applyBorder="1" applyAlignment="1">
      <alignment/>
    </xf>
    <xf numFmtId="0" fontId="12" fillId="36" borderId="19" xfId="0" applyFont="1" applyFill="1" applyBorder="1" applyAlignment="1">
      <alignment/>
    </xf>
    <xf numFmtId="0" fontId="11" fillId="0" borderId="0" xfId="0" applyFont="1" applyAlignment="1">
      <alignment/>
    </xf>
    <xf numFmtId="14" fontId="11" fillId="0" borderId="11" xfId="0" applyNumberFormat="1" applyFont="1" applyBorder="1" applyAlignment="1">
      <alignment horizontal="left"/>
    </xf>
    <xf numFmtId="0" fontId="9" fillId="0" borderId="0" xfId="0" applyFont="1" applyAlignment="1">
      <alignment horizontal="center" vertical="center"/>
    </xf>
    <xf numFmtId="0" fontId="9" fillId="33" borderId="0" xfId="0" applyFont="1" applyFill="1" applyAlignment="1">
      <alignment horizontal="center" vertical="center"/>
    </xf>
    <xf numFmtId="0" fontId="9" fillId="34" borderId="0" xfId="0" applyFont="1" applyFill="1" applyAlignment="1">
      <alignment horizontal="center" vertical="center"/>
    </xf>
    <xf numFmtId="0" fontId="9" fillId="37" borderId="0" xfId="0" applyFont="1" applyFill="1" applyAlignment="1">
      <alignment horizontal="center" vertical="center"/>
    </xf>
    <xf numFmtId="0" fontId="9" fillId="38" borderId="0" xfId="0" applyFont="1" applyFill="1" applyAlignment="1">
      <alignment horizontal="center" vertical="center"/>
    </xf>
    <xf numFmtId="0" fontId="14" fillId="0" borderId="14" xfId="0" applyFont="1" applyBorder="1" applyAlignment="1">
      <alignment horizontal="center" vertical="center"/>
    </xf>
    <xf numFmtId="0" fontId="9" fillId="34" borderId="13" xfId="0" applyFont="1" applyFill="1" applyBorder="1" applyAlignment="1">
      <alignment horizontal="center" vertical="center"/>
    </xf>
    <xf numFmtId="0" fontId="9" fillId="37" borderId="13" xfId="0" applyFont="1" applyFill="1" applyBorder="1" applyAlignment="1">
      <alignment horizontal="center" vertical="center"/>
    </xf>
    <xf numFmtId="0" fontId="9" fillId="33" borderId="13" xfId="0" applyFont="1" applyFill="1" applyBorder="1" applyAlignment="1">
      <alignment horizontal="center" vertical="center"/>
    </xf>
    <xf numFmtId="0" fontId="9" fillId="38" borderId="0" xfId="0" applyFont="1" applyFill="1" applyBorder="1" applyAlignment="1">
      <alignment horizontal="center" vertical="center"/>
    </xf>
    <xf numFmtId="0" fontId="9" fillId="34" borderId="20" xfId="0" applyFont="1" applyFill="1" applyBorder="1" applyAlignment="1">
      <alignment horizontal="center" vertical="center"/>
    </xf>
    <xf numFmtId="0" fontId="9" fillId="37" borderId="20" xfId="0" applyFont="1" applyFill="1" applyBorder="1" applyAlignment="1">
      <alignment horizontal="center" vertical="center"/>
    </xf>
    <xf numFmtId="0" fontId="9" fillId="37" borderId="12" xfId="0" applyFont="1" applyFill="1" applyBorder="1" applyAlignment="1">
      <alignment horizontal="center" vertical="center"/>
    </xf>
    <xf numFmtId="0" fontId="9" fillId="37" borderId="0" xfId="0" applyFont="1" applyFill="1" applyBorder="1" applyAlignment="1">
      <alignment horizontal="center" vertical="center"/>
    </xf>
    <xf numFmtId="0" fontId="9" fillId="33" borderId="20" xfId="0" applyFont="1" applyFill="1" applyBorder="1" applyAlignment="1">
      <alignment horizontal="center" vertical="center"/>
    </xf>
    <xf numFmtId="0" fontId="14" fillId="0" borderId="19" xfId="0" applyFont="1" applyBorder="1" applyAlignment="1">
      <alignment horizontal="center" vertical="center"/>
    </xf>
    <xf numFmtId="0" fontId="9" fillId="34" borderId="11" xfId="0" applyFont="1" applyFill="1" applyBorder="1" applyAlignment="1">
      <alignment horizontal="center" vertical="center"/>
    </xf>
    <xf numFmtId="0" fontId="9" fillId="37" borderId="11" xfId="0" applyFont="1" applyFill="1" applyBorder="1" applyAlignment="1">
      <alignment horizontal="center" vertical="center"/>
    </xf>
    <xf numFmtId="0" fontId="9" fillId="33" borderId="11" xfId="0" applyFont="1" applyFill="1" applyBorder="1" applyAlignment="1">
      <alignment horizontal="center" vertical="center"/>
    </xf>
    <xf numFmtId="0" fontId="9" fillId="34" borderId="12" xfId="0" applyFont="1" applyFill="1" applyBorder="1" applyAlignment="1">
      <alignment horizontal="center" vertical="center"/>
    </xf>
    <xf numFmtId="0" fontId="9" fillId="34" borderId="10" xfId="0" applyFont="1" applyFill="1" applyBorder="1" applyAlignment="1">
      <alignment horizontal="center" vertical="center"/>
    </xf>
    <xf numFmtId="0" fontId="9" fillId="37" borderId="10"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23" xfId="0" applyFont="1" applyFill="1" applyBorder="1" applyAlignment="1">
      <alignment horizontal="center" vertical="center"/>
    </xf>
    <xf numFmtId="0" fontId="9" fillId="37" borderId="23" xfId="0" applyFont="1" applyFill="1" applyBorder="1" applyAlignment="1">
      <alignment horizontal="center" vertical="center"/>
    </xf>
    <xf numFmtId="0" fontId="15" fillId="0" borderId="0" xfId="0" applyFont="1" applyAlignment="1">
      <alignment/>
    </xf>
    <xf numFmtId="0" fontId="16" fillId="0" borderId="14" xfId="0" applyFont="1" applyBorder="1" applyAlignment="1">
      <alignment/>
    </xf>
    <xf numFmtId="0" fontId="16" fillId="0" borderId="14" xfId="0" applyFont="1" applyBorder="1" applyAlignment="1">
      <alignment horizontal="center" vertical="center"/>
    </xf>
    <xf numFmtId="0" fontId="9" fillId="0" borderId="16" xfId="0" applyFont="1" applyBorder="1" applyAlignment="1">
      <alignment/>
    </xf>
    <xf numFmtId="0" fontId="17" fillId="0" borderId="16" xfId="0" applyFont="1" applyBorder="1" applyAlignment="1">
      <alignment/>
    </xf>
    <xf numFmtId="0" fontId="17" fillId="0" borderId="17" xfId="0" applyFont="1" applyBorder="1" applyAlignment="1">
      <alignment/>
    </xf>
    <xf numFmtId="0" fontId="9" fillId="0" borderId="15" xfId="0" applyFont="1" applyBorder="1" applyAlignment="1">
      <alignment/>
    </xf>
    <xf numFmtId="0" fontId="15" fillId="0" borderId="15" xfId="0" applyFont="1" applyBorder="1" applyAlignment="1">
      <alignment/>
    </xf>
    <xf numFmtId="0" fontId="9" fillId="38" borderId="13" xfId="0" applyFont="1" applyFill="1" applyBorder="1" applyAlignment="1">
      <alignment horizontal="center" vertical="center"/>
    </xf>
    <xf numFmtId="0" fontId="10" fillId="0" borderId="20" xfId="0" applyFont="1" applyBorder="1" applyAlignment="1">
      <alignment horizontal="center" vertical="center"/>
    </xf>
    <xf numFmtId="0" fontId="12" fillId="0" borderId="20" xfId="0" applyFont="1" applyBorder="1" applyAlignment="1">
      <alignment horizontal="center" vertical="center"/>
    </xf>
    <xf numFmtId="0" fontId="10" fillId="0" borderId="22" xfId="0" applyFont="1" applyBorder="1" applyAlignment="1">
      <alignment horizontal="center" vertical="center"/>
    </xf>
    <xf numFmtId="0" fontId="9" fillId="34" borderId="24" xfId="0" applyFont="1" applyFill="1" applyBorder="1" applyAlignment="1">
      <alignment horizontal="center" vertical="center"/>
    </xf>
    <xf numFmtId="0" fontId="9" fillId="34" borderId="23" xfId="0" applyFont="1" applyFill="1" applyBorder="1" applyAlignment="1">
      <alignment horizontal="center" vertical="center"/>
    </xf>
    <xf numFmtId="0" fontId="1" fillId="0" borderId="14" xfId="0" applyFont="1" applyBorder="1" applyAlignment="1">
      <alignment horizontal="center" vertical="center"/>
    </xf>
    <xf numFmtId="0" fontId="10" fillId="0" borderId="0" xfId="0" applyFont="1" applyAlignment="1">
      <alignment horizontal="left"/>
    </xf>
    <xf numFmtId="0" fontId="18" fillId="0" borderId="12" xfId="0" applyFont="1" applyBorder="1" applyAlignment="1">
      <alignment/>
    </xf>
    <xf numFmtId="0" fontId="9" fillId="0" borderId="0" xfId="0" applyFont="1" applyBorder="1" applyAlignment="1">
      <alignment/>
    </xf>
    <xf numFmtId="0" fontId="19" fillId="0" borderId="12" xfId="0" applyFont="1" applyBorder="1" applyAlignment="1">
      <alignment/>
    </xf>
    <xf numFmtId="0" fontId="19" fillId="0" borderId="21" xfId="0" applyFont="1" applyBorder="1" applyAlignment="1">
      <alignment/>
    </xf>
    <xf numFmtId="0" fontId="9" fillId="0" borderId="24" xfId="0" applyFont="1" applyBorder="1" applyAlignment="1">
      <alignment/>
    </xf>
    <xf numFmtId="0" fontId="20" fillId="0" borderId="15" xfId="0" applyFont="1" applyBorder="1" applyAlignment="1">
      <alignment/>
    </xf>
    <xf numFmtId="0" fontId="20" fillId="0" borderId="16" xfId="0" applyFont="1" applyBorder="1" applyAlignment="1">
      <alignment/>
    </xf>
    <xf numFmtId="0" fontId="2" fillId="0" borderId="25" xfId="56" applyBorder="1">
      <alignment/>
      <protection/>
    </xf>
    <xf numFmtId="0" fontId="2" fillId="0" borderId="0" xfId="56" applyBorder="1">
      <alignment/>
      <protection/>
    </xf>
    <xf numFmtId="0" fontId="2" fillId="0" borderId="25" xfId="56" applyBorder="1" applyAlignment="1">
      <alignment horizontal="center"/>
      <protection/>
    </xf>
    <xf numFmtId="0" fontId="5" fillId="0" borderId="14" xfId="56" applyFont="1" applyBorder="1" applyAlignment="1">
      <alignment horizontal="center"/>
      <protection/>
    </xf>
    <xf numFmtId="0" fontId="2" fillId="0" borderId="15" xfId="56" applyFont="1" applyBorder="1" applyAlignment="1">
      <alignment/>
      <protection/>
    </xf>
    <xf numFmtId="0" fontId="2" fillId="0" borderId="16" xfId="56" applyFont="1" applyBorder="1" applyAlignment="1">
      <alignment/>
      <protection/>
    </xf>
    <xf numFmtId="0" fontId="9" fillId="0" borderId="26"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9" xfId="0" applyFont="1" applyBorder="1" applyAlignment="1">
      <alignment/>
    </xf>
    <xf numFmtId="0" fontId="9" fillId="0" borderId="30" xfId="0" applyFont="1" applyBorder="1" applyAlignment="1">
      <alignment/>
    </xf>
    <xf numFmtId="16" fontId="9" fillId="0" borderId="26" xfId="0" applyNumberFormat="1" applyFont="1" applyBorder="1" applyAlignment="1">
      <alignment/>
    </xf>
    <xf numFmtId="0" fontId="10" fillId="0" borderId="20" xfId="0" applyFont="1" applyBorder="1" applyAlignment="1" applyProtection="1">
      <alignment horizontal="center" vertical="center"/>
      <protection locked="0"/>
    </xf>
    <xf numFmtId="0" fontId="9" fillId="0" borderId="14" xfId="0" applyFont="1" applyBorder="1" applyAlignment="1">
      <alignment horizontal="center"/>
    </xf>
    <xf numFmtId="0" fontId="21" fillId="0" borderId="31" xfId="0" applyFont="1" applyBorder="1" applyAlignment="1">
      <alignment/>
    </xf>
    <xf numFmtId="0" fontId="1" fillId="0" borderId="12" xfId="0" applyFont="1" applyBorder="1" applyAlignment="1">
      <alignment/>
    </xf>
    <xf numFmtId="0" fontId="10" fillId="0" borderId="14" xfId="0" applyFont="1" applyBorder="1" applyAlignment="1" quotePrefix="1">
      <alignment horizontal="center"/>
    </xf>
    <xf numFmtId="0" fontId="1" fillId="0" borderId="14" xfId="0" applyFont="1" applyBorder="1" applyAlignment="1">
      <alignment horizontal="center"/>
    </xf>
    <xf numFmtId="0" fontId="12" fillId="0" borderId="19" xfId="0" applyFont="1" applyBorder="1" applyAlignment="1">
      <alignment horizontal="center" vertical="center"/>
    </xf>
    <xf numFmtId="0" fontId="22" fillId="0" borderId="32" xfId="0" applyFont="1" applyBorder="1" applyAlignment="1">
      <alignment/>
    </xf>
    <xf numFmtId="0" fontId="9" fillId="0" borderId="23" xfId="0" applyFont="1" applyBorder="1" applyAlignment="1">
      <alignment/>
    </xf>
    <xf numFmtId="0" fontId="9" fillId="38" borderId="21" xfId="0" applyFont="1" applyFill="1" applyBorder="1" applyAlignment="1">
      <alignment horizontal="center" vertical="center"/>
    </xf>
    <xf numFmtId="0" fontId="9" fillId="38" borderId="24" xfId="0" applyFont="1" applyFill="1" applyBorder="1" applyAlignment="1">
      <alignment horizontal="center" vertical="center"/>
    </xf>
    <xf numFmtId="0" fontId="9" fillId="38" borderId="23" xfId="0" applyFont="1" applyFill="1" applyBorder="1" applyAlignment="1">
      <alignment horizontal="center" vertical="center"/>
    </xf>
    <xf numFmtId="0" fontId="9" fillId="39" borderId="13" xfId="0" applyFont="1" applyFill="1" applyBorder="1" applyAlignment="1">
      <alignment horizontal="center" vertical="center"/>
    </xf>
    <xf numFmtId="0" fontId="9" fillId="40" borderId="13" xfId="0" applyFont="1" applyFill="1" applyBorder="1" applyAlignment="1">
      <alignment horizontal="center" vertical="center"/>
    </xf>
    <xf numFmtId="0" fontId="9" fillId="40" borderId="12" xfId="0" applyFont="1" applyFill="1" applyBorder="1" applyAlignment="1">
      <alignment horizontal="center" vertical="center"/>
    </xf>
    <xf numFmtId="0" fontId="9" fillId="39" borderId="21" xfId="0" applyFont="1" applyFill="1" applyBorder="1" applyAlignment="1">
      <alignment horizontal="center" vertical="center"/>
    </xf>
    <xf numFmtId="0" fontId="9" fillId="39" borderId="24" xfId="0" applyFont="1" applyFill="1" applyBorder="1" applyAlignment="1">
      <alignment horizontal="center" vertical="center"/>
    </xf>
    <xf numFmtId="0" fontId="9" fillId="39" borderId="23" xfId="0" applyFont="1" applyFill="1" applyBorder="1" applyAlignment="1">
      <alignment horizontal="center" vertical="center"/>
    </xf>
    <xf numFmtId="0" fontId="9" fillId="40" borderId="21" xfId="0" applyFont="1" applyFill="1" applyBorder="1" applyAlignment="1">
      <alignment horizontal="center" vertical="center"/>
    </xf>
    <xf numFmtId="0" fontId="9" fillId="40" borderId="24" xfId="0" applyFont="1" applyFill="1" applyBorder="1" applyAlignment="1">
      <alignment horizontal="center" vertical="center"/>
    </xf>
    <xf numFmtId="0" fontId="9" fillId="40" borderId="23" xfId="0" applyFont="1" applyFill="1" applyBorder="1" applyAlignment="1">
      <alignment horizontal="center" vertical="center"/>
    </xf>
    <xf numFmtId="0" fontId="9" fillId="38" borderId="20" xfId="0" applyFont="1" applyFill="1" applyBorder="1" applyAlignment="1">
      <alignment horizontal="center" vertical="center"/>
    </xf>
    <xf numFmtId="0" fontId="9" fillId="38" borderId="16" xfId="0" applyFont="1" applyFill="1" applyBorder="1" applyAlignment="1">
      <alignment horizontal="center" vertical="center"/>
    </xf>
    <xf numFmtId="0" fontId="9" fillId="33" borderId="21" xfId="0" applyFont="1" applyFill="1" applyBorder="1" applyAlignment="1">
      <alignment horizontal="center" vertical="center"/>
    </xf>
    <xf numFmtId="0" fontId="9" fillId="38" borderId="19" xfId="0" applyFont="1" applyFill="1" applyBorder="1" applyAlignment="1">
      <alignment horizontal="center" vertical="center"/>
    </xf>
    <xf numFmtId="0" fontId="9" fillId="39" borderId="18" xfId="0" applyFont="1" applyFill="1" applyBorder="1" applyAlignment="1">
      <alignment horizontal="center" vertical="center"/>
    </xf>
    <xf numFmtId="0" fontId="9" fillId="40" borderId="18" xfId="0" applyFont="1" applyFill="1" applyBorder="1" applyAlignment="1">
      <alignment horizontal="center" vertical="center"/>
    </xf>
    <xf numFmtId="0" fontId="9" fillId="38" borderId="18" xfId="0" applyFont="1" applyFill="1" applyBorder="1" applyAlignment="1">
      <alignment horizontal="center" vertical="center"/>
    </xf>
    <xf numFmtId="0" fontId="9" fillId="37" borderId="21" xfId="0" applyFont="1" applyFill="1" applyBorder="1" applyAlignment="1">
      <alignment horizontal="center" vertical="center"/>
    </xf>
    <xf numFmtId="0" fontId="9" fillId="37" borderId="24" xfId="0" applyFont="1" applyFill="1" applyBorder="1" applyAlignment="1">
      <alignment horizontal="center" vertical="center"/>
    </xf>
    <xf numFmtId="0" fontId="9" fillId="40" borderId="0" xfId="0" applyFont="1" applyFill="1" applyAlignment="1">
      <alignment horizontal="center" vertical="center"/>
    </xf>
    <xf numFmtId="0" fontId="9" fillId="40" borderId="0" xfId="0" applyFont="1" applyFill="1" applyBorder="1" applyAlignment="1">
      <alignment horizontal="center" vertical="center"/>
    </xf>
    <xf numFmtId="0" fontId="5" fillId="0" borderId="14" xfId="56" applyFont="1" applyBorder="1" applyAlignment="1">
      <alignment horizontal="center" vertical="center"/>
      <protection/>
    </xf>
    <xf numFmtId="0" fontId="1" fillId="0" borderId="12" xfId="0" applyFont="1" applyFill="1" applyBorder="1" applyAlignment="1">
      <alignment/>
    </xf>
    <xf numFmtId="0" fontId="1" fillId="0" borderId="0" xfId="0" applyFont="1" applyFill="1" applyBorder="1" applyAlignment="1">
      <alignment/>
    </xf>
    <xf numFmtId="0" fontId="1" fillId="0" borderId="12" xfId="0" applyFont="1" applyFill="1" applyBorder="1" applyAlignment="1">
      <alignment/>
    </xf>
    <xf numFmtId="0" fontId="8" fillId="0" borderId="10" xfId="0" applyFont="1" applyFill="1" applyBorder="1" applyAlignment="1">
      <alignment/>
    </xf>
    <xf numFmtId="0" fontId="8" fillId="0" borderId="11" xfId="0" applyFont="1" applyFill="1" applyBorder="1" applyAlignment="1">
      <alignment/>
    </xf>
    <xf numFmtId="0" fontId="2" fillId="0" borderId="12" xfId="0" applyNumberFormat="1" applyFont="1" applyFill="1" applyBorder="1" applyAlignment="1">
      <alignment vertical="center"/>
    </xf>
    <xf numFmtId="0" fontId="1" fillId="0" borderId="12" xfId="0" applyFont="1" applyFill="1" applyBorder="1" applyAlignment="1">
      <alignment horizontal="center"/>
    </xf>
    <xf numFmtId="0" fontId="55" fillId="0" borderId="0" xfId="0" applyFont="1" applyAlignment="1">
      <alignment/>
    </xf>
    <xf numFmtId="0" fontId="55" fillId="0" borderId="0" xfId="0" applyFont="1" applyBorder="1" applyAlignment="1">
      <alignment/>
    </xf>
    <xf numFmtId="0" fontId="16" fillId="0" borderId="12" xfId="0" applyFont="1" applyBorder="1" applyAlignment="1">
      <alignment/>
    </xf>
    <xf numFmtId="0" fontId="3" fillId="41" borderId="33" xfId="57" applyFill="1" applyBorder="1" applyAlignment="1">
      <alignment horizontal="center" vertical="top" wrapText="1"/>
      <protection/>
    </xf>
    <xf numFmtId="0" fontId="3" fillId="41" borderId="34" xfId="57" applyFill="1" applyBorder="1" applyAlignment="1">
      <alignment horizontal="center" vertical="top" wrapText="1"/>
      <protection/>
    </xf>
    <xf numFmtId="0" fontId="3" fillId="41" borderId="35" xfId="57" applyFill="1" applyBorder="1" applyAlignment="1">
      <alignment horizontal="center" vertical="top" wrapText="1"/>
      <protection/>
    </xf>
    <xf numFmtId="0" fontId="3" fillId="41" borderId="36" xfId="57" applyFill="1" applyBorder="1" applyAlignment="1">
      <alignment horizontal="center" vertical="top" wrapText="1"/>
      <protection/>
    </xf>
    <xf numFmtId="0" fontId="3" fillId="41" borderId="0" xfId="57" applyFill="1" applyBorder="1" applyAlignment="1">
      <alignment horizontal="center" vertical="top" wrapText="1"/>
      <protection/>
    </xf>
    <xf numFmtId="0" fontId="3" fillId="41" borderId="37" xfId="57" applyFill="1" applyBorder="1" applyAlignment="1">
      <alignment horizontal="center" vertical="top" wrapText="1"/>
      <protection/>
    </xf>
    <xf numFmtId="0" fontId="3" fillId="41" borderId="38" xfId="57" applyFill="1" applyBorder="1" applyAlignment="1">
      <alignment horizontal="center" vertical="top" wrapText="1"/>
      <protection/>
    </xf>
    <xf numFmtId="0" fontId="3" fillId="41" borderId="39" xfId="57" applyFill="1" applyBorder="1" applyAlignment="1">
      <alignment horizontal="center" vertical="top" wrapText="1"/>
      <protection/>
    </xf>
    <xf numFmtId="0" fontId="3" fillId="41" borderId="40" xfId="57" applyFill="1" applyBorder="1" applyAlignment="1">
      <alignment horizontal="center" vertical="top" wrapText="1"/>
      <protection/>
    </xf>
    <xf numFmtId="0" fontId="2" fillId="0" borderId="15" xfId="56" applyFont="1" applyBorder="1" applyAlignment="1">
      <alignment horizontal="left" wrapText="1"/>
      <protection/>
    </xf>
    <xf numFmtId="0" fontId="2" fillId="0" borderId="16" xfId="56" applyFont="1" applyBorder="1" applyAlignment="1">
      <alignment horizontal="left" wrapText="1"/>
      <protection/>
    </xf>
    <xf numFmtId="0" fontId="2" fillId="0" borderId="26" xfId="56" applyFont="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P241 cortec" xfId="56"/>
    <cellStyle name="Normal_Templat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8"/>
  <sheetViews>
    <sheetView showGridLines="0" showRowColHeaders="0" tabSelected="1" zoomScalePageLayoutView="0" workbookViewId="0" topLeftCell="A1">
      <selection activeCell="C46" sqref="C46"/>
    </sheetView>
  </sheetViews>
  <sheetFormatPr defaultColWidth="10.28125" defaultRowHeight="15"/>
  <cols>
    <col min="1" max="1" width="4.140625" style="1" customWidth="1"/>
    <col min="2" max="10" width="11.421875" style="1" customWidth="1"/>
    <col min="11" max="16384" width="10.28125" style="1" customWidth="1"/>
  </cols>
  <sheetData>
    <row r="1" ht="14.25">
      <c r="A1" s="176" t="s">
        <v>119</v>
      </c>
    </row>
    <row r="2" ht="15" thickBot="1"/>
    <row r="3" spans="2:10" ht="15" thickTop="1">
      <c r="B3" s="179" t="s">
        <v>60</v>
      </c>
      <c r="C3" s="180"/>
      <c r="D3" s="180"/>
      <c r="E3" s="180"/>
      <c r="F3" s="180"/>
      <c r="G3" s="180"/>
      <c r="H3" s="180"/>
      <c r="I3" s="180"/>
      <c r="J3" s="181"/>
    </row>
    <row r="4" spans="2:10" ht="14.25">
      <c r="B4" s="182" t="s">
        <v>61</v>
      </c>
      <c r="C4" s="183"/>
      <c r="D4" s="183"/>
      <c r="E4" s="183"/>
      <c r="F4" s="183"/>
      <c r="G4" s="183"/>
      <c r="H4" s="183"/>
      <c r="I4" s="183"/>
      <c r="J4" s="184"/>
    </row>
    <row r="5" spans="2:10" ht="14.25">
      <c r="B5" s="182"/>
      <c r="C5" s="183"/>
      <c r="D5" s="183"/>
      <c r="E5" s="183"/>
      <c r="F5" s="183"/>
      <c r="G5" s="183"/>
      <c r="H5" s="183"/>
      <c r="I5" s="183"/>
      <c r="J5" s="184"/>
    </row>
    <row r="6" spans="2:10" ht="14.25">
      <c r="B6" s="182" t="s">
        <v>62</v>
      </c>
      <c r="C6" s="183"/>
      <c r="D6" s="183"/>
      <c r="E6" s="183"/>
      <c r="F6" s="183"/>
      <c r="G6" s="183"/>
      <c r="H6" s="183"/>
      <c r="I6" s="183"/>
      <c r="J6" s="184"/>
    </row>
    <row r="7" spans="2:10" ht="14.25">
      <c r="B7" s="182"/>
      <c r="C7" s="183"/>
      <c r="D7" s="183"/>
      <c r="E7" s="183"/>
      <c r="F7" s="183"/>
      <c r="G7" s="183"/>
      <c r="H7" s="183"/>
      <c r="I7" s="183"/>
      <c r="J7" s="184"/>
    </row>
    <row r="8" spans="2:10" ht="3.75" customHeight="1" thickBot="1">
      <c r="B8" s="185"/>
      <c r="C8" s="186"/>
      <c r="D8" s="186"/>
      <c r="E8" s="186"/>
      <c r="F8" s="186"/>
      <c r="G8" s="186"/>
      <c r="H8" s="186"/>
      <c r="I8" s="186"/>
      <c r="J8" s="187"/>
    </row>
    <row r="9" ht="15" thickTop="1"/>
  </sheetData>
  <sheetProtection password="CAE7" sheet="1" objects="1" scenarios="1"/>
  <mergeCells count="3">
    <mergeCell ref="B3:J3"/>
    <mergeCell ref="B4:J5"/>
    <mergeCell ref="B6:J8"/>
  </mergeCells>
  <printOptions/>
  <pageMargins left="0.75" right="0.75" top="1" bottom="1" header="0.5" footer="0.5"/>
  <pageSetup fitToHeight="1" fitToWidth="1"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AB76"/>
  <sheetViews>
    <sheetView showGridLines="0" showRowColHeaders="0" zoomScalePageLayoutView="0" workbookViewId="0" topLeftCell="A1">
      <pane ySplit="5" topLeftCell="A6" activePane="bottomLeft" state="frozen"/>
      <selection pane="topLeft" activeCell="A1" sqref="A1"/>
      <selection pane="bottomLeft" activeCell="B81" sqref="B81"/>
    </sheetView>
  </sheetViews>
  <sheetFormatPr defaultColWidth="9.140625" defaultRowHeight="15"/>
  <cols>
    <col min="1" max="1" width="9.140625" style="2" customWidth="1"/>
    <col min="2" max="2" width="47.8515625" style="2" customWidth="1"/>
    <col min="3" max="3" width="5.140625" style="9" customWidth="1"/>
    <col min="4" max="25" width="3.00390625" style="9" customWidth="1"/>
    <col min="26" max="26" width="3.00390625" style="10" customWidth="1"/>
    <col min="27" max="28" width="3.00390625" style="9" customWidth="1"/>
    <col min="29" max="16384" width="9.140625" style="2" customWidth="1"/>
  </cols>
  <sheetData>
    <row r="1" ht="15">
      <c r="A1" s="176" t="s">
        <v>119</v>
      </c>
    </row>
    <row r="2" ht="15">
      <c r="A2" s="2" t="s">
        <v>64</v>
      </c>
    </row>
    <row r="4" spans="1:28" ht="12.75">
      <c r="A4" s="32" t="s">
        <v>65</v>
      </c>
      <c r="B4" s="32"/>
      <c r="C4" s="34" t="s">
        <v>105</v>
      </c>
      <c r="D4" s="14">
        <v>2</v>
      </c>
      <c r="E4" s="14">
        <v>3</v>
      </c>
      <c r="F4" s="14">
        <v>4</v>
      </c>
      <c r="G4" s="14">
        <v>5</v>
      </c>
      <c r="H4" s="14">
        <v>6</v>
      </c>
      <c r="I4" s="14">
        <v>7</v>
      </c>
      <c r="J4" s="14">
        <v>8</v>
      </c>
      <c r="K4" s="14">
        <v>9</v>
      </c>
      <c r="L4" s="14">
        <v>10</v>
      </c>
      <c r="M4" s="14">
        <v>11</v>
      </c>
      <c r="N4" s="14">
        <v>12</v>
      </c>
      <c r="O4" s="14">
        <v>13</v>
      </c>
      <c r="P4" s="14">
        <v>14</v>
      </c>
      <c r="Q4" s="14">
        <v>15</v>
      </c>
      <c r="R4" s="14">
        <v>16</v>
      </c>
      <c r="S4" s="14">
        <v>17</v>
      </c>
      <c r="T4" s="14">
        <v>18</v>
      </c>
      <c r="U4" s="14">
        <v>19</v>
      </c>
      <c r="V4" s="14">
        <v>20</v>
      </c>
      <c r="W4" s="14">
        <v>21</v>
      </c>
      <c r="X4" s="14">
        <v>22</v>
      </c>
      <c r="Y4" s="14">
        <v>23</v>
      </c>
      <c r="Z4" s="14">
        <v>24</v>
      </c>
      <c r="AA4" s="14">
        <v>25</v>
      </c>
      <c r="AB4" s="14">
        <v>26</v>
      </c>
    </row>
    <row r="5" spans="1:28" ht="15">
      <c r="A5" s="4" t="s">
        <v>98</v>
      </c>
      <c r="B5" s="5"/>
      <c r="C5" s="33" t="s">
        <v>14</v>
      </c>
      <c r="D5" s="17"/>
      <c r="E5" s="23"/>
      <c r="F5" s="17"/>
      <c r="G5" s="23"/>
      <c r="H5" s="17"/>
      <c r="I5" s="23"/>
      <c r="J5" s="17"/>
      <c r="K5" s="23"/>
      <c r="L5" s="17"/>
      <c r="M5" s="23"/>
      <c r="N5" s="17"/>
      <c r="O5" s="23"/>
      <c r="P5" s="17"/>
      <c r="Q5" s="23"/>
      <c r="R5" s="17"/>
      <c r="S5" s="23"/>
      <c r="T5" s="17"/>
      <c r="U5" s="23"/>
      <c r="V5" s="17"/>
      <c r="W5" s="23"/>
      <c r="X5" s="17"/>
      <c r="Y5" s="23"/>
      <c r="Z5" s="19"/>
      <c r="AA5" s="23"/>
      <c r="AB5" s="21"/>
    </row>
    <row r="6" spans="1:28" ht="15">
      <c r="A6" s="4" t="s">
        <v>0</v>
      </c>
      <c r="B6" s="5"/>
      <c r="C6" s="11"/>
      <c r="D6" s="18"/>
      <c r="E6" s="23"/>
      <c r="F6" s="17"/>
      <c r="G6" s="23"/>
      <c r="H6" s="17"/>
      <c r="I6" s="23"/>
      <c r="J6" s="17"/>
      <c r="K6" s="23"/>
      <c r="L6" s="17"/>
      <c r="M6" s="23"/>
      <c r="N6" s="17"/>
      <c r="O6" s="23"/>
      <c r="P6" s="17"/>
      <c r="Q6" s="23"/>
      <c r="R6" s="17"/>
      <c r="S6" s="23"/>
      <c r="T6" s="17"/>
      <c r="U6" s="23"/>
      <c r="V6" s="17"/>
      <c r="W6" s="23"/>
      <c r="X6" s="17"/>
      <c r="Y6" s="23"/>
      <c r="Z6" s="19"/>
      <c r="AA6" s="23"/>
      <c r="AB6" s="21"/>
    </row>
    <row r="7" spans="1:28" ht="15">
      <c r="A7" s="7" t="s">
        <v>15</v>
      </c>
      <c r="B7" s="3"/>
      <c r="C7" s="12"/>
      <c r="D7" s="14" t="s">
        <v>9</v>
      </c>
      <c r="E7" s="23"/>
      <c r="F7" s="17"/>
      <c r="G7" s="23"/>
      <c r="H7" s="17"/>
      <c r="I7" s="23"/>
      <c r="J7" s="17"/>
      <c r="K7" s="23"/>
      <c r="L7" s="17"/>
      <c r="M7" s="23"/>
      <c r="N7" s="17"/>
      <c r="O7" s="23"/>
      <c r="P7" s="17"/>
      <c r="Q7" s="23"/>
      <c r="R7" s="17"/>
      <c r="S7" s="23"/>
      <c r="T7" s="17"/>
      <c r="U7" s="23"/>
      <c r="V7" s="17"/>
      <c r="W7" s="23"/>
      <c r="X7" s="17"/>
      <c r="Y7" s="23"/>
      <c r="Z7" s="19"/>
      <c r="AA7" s="23"/>
      <c r="AB7" s="21"/>
    </row>
    <row r="8" spans="1:28" ht="15">
      <c r="A8" s="7" t="s">
        <v>16</v>
      </c>
      <c r="B8" s="3"/>
      <c r="C8" s="12"/>
      <c r="D8" s="14" t="s">
        <v>10</v>
      </c>
      <c r="E8" s="23"/>
      <c r="F8" s="17"/>
      <c r="G8" s="23"/>
      <c r="H8" s="17"/>
      <c r="I8" s="23"/>
      <c r="J8" s="17"/>
      <c r="K8" s="23"/>
      <c r="L8" s="17"/>
      <c r="M8" s="23"/>
      <c r="N8" s="17"/>
      <c r="O8" s="23"/>
      <c r="P8" s="17"/>
      <c r="Q8" s="23"/>
      <c r="R8" s="17"/>
      <c r="S8" s="23"/>
      <c r="T8" s="17"/>
      <c r="U8" s="23"/>
      <c r="V8" s="17"/>
      <c r="W8" s="23"/>
      <c r="X8" s="17"/>
      <c r="Y8" s="23"/>
      <c r="Z8" s="19"/>
      <c r="AA8" s="23"/>
      <c r="AB8" s="21"/>
    </row>
    <row r="9" spans="1:28" ht="15">
      <c r="A9" s="174" t="s">
        <v>114</v>
      </c>
      <c r="B9" s="170"/>
      <c r="C9" s="12"/>
      <c r="D9" s="14" t="s">
        <v>11</v>
      </c>
      <c r="E9" s="23"/>
      <c r="F9" s="17"/>
      <c r="G9" s="23"/>
      <c r="H9" s="17"/>
      <c r="I9" s="23"/>
      <c r="J9" s="17"/>
      <c r="K9" s="23"/>
      <c r="L9" s="17"/>
      <c r="M9" s="23"/>
      <c r="N9" s="17"/>
      <c r="O9" s="23"/>
      <c r="P9" s="17"/>
      <c r="Q9" s="23"/>
      <c r="R9" s="17"/>
      <c r="S9" s="23"/>
      <c r="T9" s="17"/>
      <c r="U9" s="23"/>
      <c r="V9" s="17"/>
      <c r="W9" s="23"/>
      <c r="X9" s="17"/>
      <c r="Y9" s="23"/>
      <c r="Z9" s="19"/>
      <c r="AA9" s="23"/>
      <c r="AB9" s="21"/>
    </row>
    <row r="10" spans="1:28" ht="15">
      <c r="A10" s="174" t="s">
        <v>115</v>
      </c>
      <c r="B10" s="170"/>
      <c r="C10" s="12"/>
      <c r="D10" s="14" t="s">
        <v>12</v>
      </c>
      <c r="E10" s="23"/>
      <c r="F10" s="17"/>
      <c r="G10" s="23"/>
      <c r="H10" s="17"/>
      <c r="I10" s="23"/>
      <c r="J10" s="17"/>
      <c r="K10" s="23"/>
      <c r="L10" s="17"/>
      <c r="M10" s="23"/>
      <c r="N10" s="17"/>
      <c r="O10" s="23"/>
      <c r="P10" s="17"/>
      <c r="Q10" s="23"/>
      <c r="R10" s="17"/>
      <c r="S10" s="23"/>
      <c r="T10" s="17"/>
      <c r="U10" s="23"/>
      <c r="V10" s="17"/>
      <c r="W10" s="23"/>
      <c r="X10" s="17"/>
      <c r="Y10" s="23"/>
      <c r="Z10" s="19"/>
      <c r="AA10" s="23"/>
      <c r="AB10" s="21"/>
    </row>
    <row r="11" spans="1:28" ht="15">
      <c r="A11" s="7"/>
      <c r="B11" s="3"/>
      <c r="C11" s="12"/>
      <c r="D11" s="12"/>
      <c r="E11" s="23"/>
      <c r="F11" s="17"/>
      <c r="G11" s="23"/>
      <c r="H11" s="17"/>
      <c r="I11" s="23"/>
      <c r="J11" s="17"/>
      <c r="K11" s="23"/>
      <c r="L11" s="17"/>
      <c r="M11" s="23"/>
      <c r="N11" s="17"/>
      <c r="O11" s="23"/>
      <c r="P11" s="17"/>
      <c r="Q11" s="23"/>
      <c r="R11" s="17"/>
      <c r="S11" s="23"/>
      <c r="T11" s="17"/>
      <c r="U11" s="23"/>
      <c r="V11" s="17"/>
      <c r="W11" s="23"/>
      <c r="X11" s="17"/>
      <c r="Y11" s="23"/>
      <c r="Z11" s="19"/>
      <c r="AA11" s="23"/>
      <c r="AB11" s="21"/>
    </row>
    <row r="12" spans="1:28" ht="15">
      <c r="A12" s="4" t="s">
        <v>1</v>
      </c>
      <c r="B12" s="5"/>
      <c r="C12" s="25"/>
      <c r="D12" s="25"/>
      <c r="E12" s="24"/>
      <c r="F12" s="18"/>
      <c r="G12" s="23"/>
      <c r="H12" s="17"/>
      <c r="I12" s="23"/>
      <c r="J12" s="17"/>
      <c r="K12" s="23"/>
      <c r="L12" s="17"/>
      <c r="M12" s="23"/>
      <c r="N12" s="17"/>
      <c r="O12" s="23"/>
      <c r="P12" s="17"/>
      <c r="Q12" s="23"/>
      <c r="R12" s="17"/>
      <c r="S12" s="23"/>
      <c r="T12" s="17"/>
      <c r="U12" s="23"/>
      <c r="V12" s="17"/>
      <c r="W12" s="23"/>
      <c r="X12" s="17"/>
      <c r="Y12" s="23"/>
      <c r="Z12" s="19"/>
      <c r="AA12" s="23"/>
      <c r="AB12" s="21"/>
    </row>
    <row r="13" spans="1:28" ht="15">
      <c r="A13" s="8" t="s">
        <v>67</v>
      </c>
      <c r="B13" s="3"/>
      <c r="C13" s="12"/>
      <c r="D13" s="12"/>
      <c r="E13" s="14">
        <v>0</v>
      </c>
      <c r="F13" s="17"/>
      <c r="G13" s="23"/>
      <c r="H13" s="17"/>
      <c r="I13" s="23"/>
      <c r="J13" s="17"/>
      <c r="K13" s="23"/>
      <c r="L13" s="17"/>
      <c r="M13" s="23"/>
      <c r="N13" s="17"/>
      <c r="O13" s="23"/>
      <c r="P13" s="17"/>
      <c r="Q13" s="23"/>
      <c r="R13" s="17"/>
      <c r="S13" s="23"/>
      <c r="T13" s="17"/>
      <c r="U13" s="23"/>
      <c r="V13" s="17"/>
      <c r="W13" s="23"/>
      <c r="X13" s="17"/>
      <c r="Y13" s="23"/>
      <c r="Z13" s="19"/>
      <c r="AA13" s="23"/>
      <c r="AB13" s="21"/>
    </row>
    <row r="14" spans="1:28" ht="15">
      <c r="A14" s="8"/>
      <c r="B14" s="3"/>
      <c r="C14" s="12"/>
      <c r="D14" s="12"/>
      <c r="E14" s="12"/>
      <c r="F14" s="17"/>
      <c r="G14" s="23"/>
      <c r="H14" s="17"/>
      <c r="I14" s="23"/>
      <c r="J14" s="17"/>
      <c r="K14" s="23"/>
      <c r="L14" s="17"/>
      <c r="M14" s="23"/>
      <c r="N14" s="17"/>
      <c r="O14" s="23"/>
      <c r="P14" s="17"/>
      <c r="Q14" s="23"/>
      <c r="R14" s="17"/>
      <c r="S14" s="23"/>
      <c r="T14" s="17"/>
      <c r="U14" s="23"/>
      <c r="V14" s="17"/>
      <c r="W14" s="23"/>
      <c r="X14" s="17"/>
      <c r="Y14" s="23"/>
      <c r="Z14" s="19"/>
      <c r="AA14" s="23"/>
      <c r="AB14" s="21"/>
    </row>
    <row r="15" spans="1:28" ht="15">
      <c r="A15" s="4" t="s">
        <v>2</v>
      </c>
      <c r="B15" s="5"/>
      <c r="C15" s="25"/>
      <c r="D15" s="25"/>
      <c r="E15" s="25"/>
      <c r="F15" s="18"/>
      <c r="G15" s="23"/>
      <c r="H15" s="17"/>
      <c r="I15" s="23"/>
      <c r="J15" s="17"/>
      <c r="K15" s="23"/>
      <c r="L15" s="17"/>
      <c r="M15" s="23"/>
      <c r="N15" s="17"/>
      <c r="O15" s="23"/>
      <c r="P15" s="17"/>
      <c r="Q15" s="23"/>
      <c r="R15" s="17"/>
      <c r="S15" s="23"/>
      <c r="T15" s="17"/>
      <c r="U15" s="23"/>
      <c r="V15" s="17"/>
      <c r="W15" s="23"/>
      <c r="X15" s="17"/>
      <c r="Y15" s="23"/>
      <c r="Z15" s="19"/>
      <c r="AA15" s="23"/>
      <c r="AB15" s="21"/>
    </row>
    <row r="16" spans="1:28" ht="15">
      <c r="A16" s="8" t="s">
        <v>67</v>
      </c>
      <c r="B16" s="3"/>
      <c r="C16" s="12"/>
      <c r="D16" s="12"/>
      <c r="E16" s="12"/>
      <c r="F16" s="14" t="s">
        <v>9</v>
      </c>
      <c r="G16" s="23"/>
      <c r="H16" s="17"/>
      <c r="I16" s="23"/>
      <c r="J16" s="17"/>
      <c r="K16" s="23"/>
      <c r="L16" s="17"/>
      <c r="M16" s="23"/>
      <c r="N16" s="17"/>
      <c r="O16" s="23"/>
      <c r="P16" s="17"/>
      <c r="Q16" s="23"/>
      <c r="R16" s="17"/>
      <c r="S16" s="23"/>
      <c r="T16" s="17"/>
      <c r="U16" s="23"/>
      <c r="V16" s="17"/>
      <c r="W16" s="23"/>
      <c r="X16" s="17"/>
      <c r="Y16" s="23"/>
      <c r="Z16" s="19"/>
      <c r="AA16" s="23"/>
      <c r="AB16" s="21"/>
    </row>
    <row r="17" spans="1:28" ht="15">
      <c r="A17" s="8"/>
      <c r="B17" s="3"/>
      <c r="C17" s="12"/>
      <c r="D17" s="12"/>
      <c r="E17" s="12"/>
      <c r="F17" s="12"/>
      <c r="G17" s="23"/>
      <c r="H17" s="17"/>
      <c r="I17" s="23"/>
      <c r="J17" s="17"/>
      <c r="K17" s="23"/>
      <c r="L17" s="17"/>
      <c r="M17" s="23"/>
      <c r="N17" s="17"/>
      <c r="O17" s="23"/>
      <c r="P17" s="17"/>
      <c r="Q17" s="23"/>
      <c r="R17" s="17"/>
      <c r="S17" s="23"/>
      <c r="T17" s="17"/>
      <c r="U17" s="23"/>
      <c r="V17" s="17"/>
      <c r="W17" s="23"/>
      <c r="X17" s="17"/>
      <c r="Y17" s="23"/>
      <c r="Z17" s="19"/>
      <c r="AA17" s="23"/>
      <c r="AB17" s="21"/>
    </row>
    <row r="18" spans="1:28" ht="15">
      <c r="A18" s="4" t="s">
        <v>3</v>
      </c>
      <c r="B18" s="5"/>
      <c r="C18" s="25"/>
      <c r="D18" s="25"/>
      <c r="E18" s="25"/>
      <c r="F18" s="25"/>
      <c r="G18" s="23"/>
      <c r="H18" s="17"/>
      <c r="I18" s="23"/>
      <c r="J18" s="17"/>
      <c r="K18" s="23"/>
      <c r="L18" s="17"/>
      <c r="M18" s="23"/>
      <c r="N18" s="17"/>
      <c r="O18" s="23"/>
      <c r="P18" s="17"/>
      <c r="Q18" s="23"/>
      <c r="R18" s="17"/>
      <c r="S18" s="23"/>
      <c r="T18" s="17"/>
      <c r="U18" s="23"/>
      <c r="V18" s="17"/>
      <c r="W18" s="23"/>
      <c r="X18" s="17"/>
      <c r="Y18" s="23"/>
      <c r="Z18" s="19"/>
      <c r="AA18" s="23"/>
      <c r="AB18" s="21"/>
    </row>
    <row r="19" spans="1:28" ht="15">
      <c r="A19" s="7" t="s">
        <v>17</v>
      </c>
      <c r="B19" s="3"/>
      <c r="C19" s="12"/>
      <c r="D19" s="12"/>
      <c r="E19" s="12"/>
      <c r="F19" s="12"/>
      <c r="G19" s="14">
        <v>0</v>
      </c>
      <c r="H19" s="17"/>
      <c r="I19" s="23"/>
      <c r="J19" s="17"/>
      <c r="K19" s="23"/>
      <c r="L19" s="17"/>
      <c r="M19" s="23"/>
      <c r="N19" s="17"/>
      <c r="O19" s="23"/>
      <c r="P19" s="17"/>
      <c r="Q19" s="23"/>
      <c r="R19" s="17"/>
      <c r="S19" s="23"/>
      <c r="T19" s="17"/>
      <c r="U19" s="23"/>
      <c r="V19" s="17"/>
      <c r="W19" s="23"/>
      <c r="X19" s="17"/>
      <c r="Y19" s="23"/>
      <c r="Z19" s="19"/>
      <c r="AA19" s="23"/>
      <c r="AB19" s="21"/>
    </row>
    <row r="20" spans="1:28" ht="15">
      <c r="A20" s="7" t="s">
        <v>18</v>
      </c>
      <c r="B20" s="3"/>
      <c r="C20" s="12"/>
      <c r="D20" s="12"/>
      <c r="E20" s="12"/>
      <c r="F20" s="12"/>
      <c r="G20" s="14">
        <v>1</v>
      </c>
      <c r="H20" s="17"/>
      <c r="I20" s="23"/>
      <c r="J20" s="17"/>
      <c r="K20" s="23"/>
      <c r="L20" s="17"/>
      <c r="M20" s="23"/>
      <c r="N20" s="17"/>
      <c r="O20" s="23"/>
      <c r="P20" s="17"/>
      <c r="Q20" s="23"/>
      <c r="R20" s="17"/>
      <c r="S20" s="23"/>
      <c r="T20" s="17"/>
      <c r="U20" s="23"/>
      <c r="V20" s="17"/>
      <c r="W20" s="23"/>
      <c r="X20" s="17"/>
      <c r="Y20" s="23"/>
      <c r="Z20" s="19"/>
      <c r="AA20" s="23"/>
      <c r="AB20" s="21"/>
    </row>
    <row r="21" spans="1:28" ht="15">
      <c r="A21" s="7" t="s">
        <v>54</v>
      </c>
      <c r="B21" s="3"/>
      <c r="C21" s="12"/>
      <c r="D21" s="12"/>
      <c r="E21" s="12"/>
      <c r="F21" s="12"/>
      <c r="G21" s="14">
        <v>2</v>
      </c>
      <c r="H21" s="17"/>
      <c r="I21" s="23"/>
      <c r="J21" s="17"/>
      <c r="K21" s="23"/>
      <c r="L21" s="17"/>
      <c r="M21" s="23"/>
      <c r="N21" s="17"/>
      <c r="O21" s="23"/>
      <c r="P21" s="17"/>
      <c r="Q21" s="23"/>
      <c r="R21" s="17"/>
      <c r="S21" s="23"/>
      <c r="T21" s="17"/>
      <c r="U21" s="23"/>
      <c r="V21" s="17"/>
      <c r="W21" s="23"/>
      <c r="X21" s="17"/>
      <c r="Y21" s="23"/>
      <c r="Z21" s="19"/>
      <c r="AA21" s="23"/>
      <c r="AB21" s="21"/>
    </row>
    <row r="22" spans="1:28" ht="15">
      <c r="A22" s="7"/>
      <c r="B22" s="3"/>
      <c r="C22" s="12"/>
      <c r="D22" s="12"/>
      <c r="E22" s="12"/>
      <c r="F22" s="12"/>
      <c r="G22" s="12"/>
      <c r="H22" s="17"/>
      <c r="I22" s="23"/>
      <c r="J22" s="17"/>
      <c r="K22" s="23"/>
      <c r="L22" s="17"/>
      <c r="M22" s="23"/>
      <c r="N22" s="17"/>
      <c r="O22" s="23"/>
      <c r="P22" s="17"/>
      <c r="Q22" s="23"/>
      <c r="R22" s="17"/>
      <c r="S22" s="23"/>
      <c r="T22" s="17"/>
      <c r="U22" s="23"/>
      <c r="V22" s="17"/>
      <c r="W22" s="23"/>
      <c r="X22" s="17"/>
      <c r="Y22" s="23"/>
      <c r="Z22" s="19"/>
      <c r="AA22" s="23"/>
      <c r="AB22" s="21"/>
    </row>
    <row r="23" spans="1:28" ht="15">
      <c r="A23" s="4" t="s">
        <v>4</v>
      </c>
      <c r="B23" s="6"/>
      <c r="C23" s="11"/>
      <c r="D23" s="11"/>
      <c r="E23" s="11"/>
      <c r="F23" s="11"/>
      <c r="G23" s="11"/>
      <c r="H23" s="17"/>
      <c r="I23" s="23"/>
      <c r="J23" s="17"/>
      <c r="K23" s="23"/>
      <c r="L23" s="17"/>
      <c r="M23" s="23"/>
      <c r="N23" s="17"/>
      <c r="O23" s="23"/>
      <c r="P23" s="17"/>
      <c r="Q23" s="23"/>
      <c r="R23" s="17"/>
      <c r="S23" s="23"/>
      <c r="T23" s="17"/>
      <c r="U23" s="23"/>
      <c r="V23" s="17"/>
      <c r="W23" s="23"/>
      <c r="X23" s="17"/>
      <c r="Y23" s="23"/>
      <c r="Z23" s="19"/>
      <c r="AA23" s="23"/>
      <c r="AB23" s="21"/>
    </row>
    <row r="24" spans="1:28" ht="15">
      <c r="A24" s="8" t="s">
        <v>67</v>
      </c>
      <c r="B24" s="3"/>
      <c r="C24" s="12"/>
      <c r="D24" s="12"/>
      <c r="E24" s="12"/>
      <c r="F24" s="12"/>
      <c r="G24" s="12"/>
      <c r="H24" s="14" t="s">
        <v>9</v>
      </c>
      <c r="I24" s="23"/>
      <c r="J24" s="17"/>
      <c r="K24" s="23"/>
      <c r="L24" s="17"/>
      <c r="M24" s="23"/>
      <c r="N24" s="17"/>
      <c r="O24" s="23"/>
      <c r="P24" s="17"/>
      <c r="Q24" s="23"/>
      <c r="R24" s="17"/>
      <c r="S24" s="23"/>
      <c r="T24" s="17"/>
      <c r="U24" s="23"/>
      <c r="V24" s="17"/>
      <c r="W24" s="23"/>
      <c r="X24" s="17"/>
      <c r="Y24" s="23"/>
      <c r="Z24" s="19"/>
      <c r="AA24" s="23"/>
      <c r="AB24" s="21"/>
    </row>
    <row r="25" spans="1:28" ht="15">
      <c r="A25" s="8"/>
      <c r="B25" s="3"/>
      <c r="C25" s="12"/>
      <c r="D25" s="12"/>
      <c r="E25" s="12"/>
      <c r="F25" s="12"/>
      <c r="G25" s="12"/>
      <c r="H25" s="12"/>
      <c r="I25" s="23"/>
      <c r="J25" s="17"/>
      <c r="K25" s="23"/>
      <c r="L25" s="17"/>
      <c r="M25" s="23"/>
      <c r="N25" s="17"/>
      <c r="O25" s="23"/>
      <c r="P25" s="17"/>
      <c r="Q25" s="23"/>
      <c r="R25" s="17"/>
      <c r="S25" s="23"/>
      <c r="T25" s="17"/>
      <c r="U25" s="23"/>
      <c r="V25" s="17"/>
      <c r="W25" s="23"/>
      <c r="X25" s="17"/>
      <c r="Y25" s="23"/>
      <c r="Z25" s="19"/>
      <c r="AA25" s="23"/>
      <c r="AB25" s="21"/>
    </row>
    <row r="26" spans="1:28" ht="15">
      <c r="A26" s="4" t="s">
        <v>72</v>
      </c>
      <c r="B26" s="6"/>
      <c r="C26" s="11"/>
      <c r="D26" s="11"/>
      <c r="E26" s="11"/>
      <c r="F26" s="11"/>
      <c r="G26" s="11"/>
      <c r="H26" s="11"/>
      <c r="I26" s="23"/>
      <c r="J26" s="17"/>
      <c r="K26" s="23"/>
      <c r="L26" s="17"/>
      <c r="M26" s="23"/>
      <c r="N26" s="17"/>
      <c r="O26" s="23"/>
      <c r="P26" s="17"/>
      <c r="Q26" s="23"/>
      <c r="R26" s="17"/>
      <c r="S26" s="23"/>
      <c r="T26" s="17"/>
      <c r="U26" s="23"/>
      <c r="V26" s="17"/>
      <c r="W26" s="23"/>
      <c r="X26" s="17"/>
      <c r="Y26" s="23"/>
      <c r="Z26" s="19"/>
      <c r="AA26" s="23"/>
      <c r="AB26" s="21"/>
    </row>
    <row r="27" spans="1:28" ht="15">
      <c r="A27" s="8" t="s">
        <v>43</v>
      </c>
      <c r="B27" s="3"/>
      <c r="C27" s="12"/>
      <c r="D27" s="12"/>
      <c r="E27" s="12"/>
      <c r="F27" s="12"/>
      <c r="G27" s="12"/>
      <c r="H27" s="12"/>
      <c r="I27" s="14">
        <v>0</v>
      </c>
      <c r="J27" s="17"/>
      <c r="K27" s="23"/>
      <c r="L27" s="17"/>
      <c r="M27" s="23"/>
      <c r="N27" s="17"/>
      <c r="O27" s="23"/>
      <c r="P27" s="17"/>
      <c r="Q27" s="23"/>
      <c r="R27" s="17"/>
      <c r="S27" s="23"/>
      <c r="T27" s="17"/>
      <c r="U27" s="23"/>
      <c r="V27" s="17"/>
      <c r="W27" s="23"/>
      <c r="X27" s="17"/>
      <c r="Y27" s="23"/>
      <c r="Z27" s="19"/>
      <c r="AA27" s="23"/>
      <c r="AB27" s="21"/>
    </row>
    <row r="28" spans="1:28" ht="15">
      <c r="A28" s="8" t="s">
        <v>41</v>
      </c>
      <c r="B28" s="3"/>
      <c r="C28" s="12"/>
      <c r="D28" s="12"/>
      <c r="E28" s="12"/>
      <c r="F28" s="12"/>
      <c r="G28" s="12"/>
      <c r="H28" s="12"/>
      <c r="I28" s="14">
        <v>1</v>
      </c>
      <c r="J28" s="17"/>
      <c r="K28" s="23"/>
      <c r="L28" s="17"/>
      <c r="M28" s="23"/>
      <c r="N28" s="17"/>
      <c r="O28" s="23"/>
      <c r="P28" s="17"/>
      <c r="Q28" s="23"/>
      <c r="R28" s="17"/>
      <c r="S28" s="23"/>
      <c r="T28" s="17"/>
      <c r="U28" s="23"/>
      <c r="V28" s="17"/>
      <c r="W28" s="23"/>
      <c r="X28" s="17"/>
      <c r="Y28" s="23"/>
      <c r="Z28" s="19"/>
      <c r="AA28" s="23"/>
      <c r="AB28" s="21"/>
    </row>
    <row r="29" spans="1:28" ht="15">
      <c r="A29" s="8" t="s">
        <v>42</v>
      </c>
      <c r="B29" s="3"/>
      <c r="C29" s="12"/>
      <c r="D29" s="12"/>
      <c r="E29" s="12"/>
      <c r="F29" s="12"/>
      <c r="G29" s="12"/>
      <c r="H29" s="12"/>
      <c r="I29" s="14">
        <v>2</v>
      </c>
      <c r="J29" s="17"/>
      <c r="K29" s="23"/>
      <c r="L29" s="17"/>
      <c r="M29" s="23"/>
      <c r="N29" s="17"/>
      <c r="O29" s="23"/>
      <c r="P29" s="17"/>
      <c r="Q29" s="23"/>
      <c r="R29" s="17"/>
      <c r="S29" s="23"/>
      <c r="T29" s="17"/>
      <c r="U29" s="23"/>
      <c r="V29" s="17"/>
      <c r="W29" s="23"/>
      <c r="X29" s="17"/>
      <c r="Y29" s="23"/>
      <c r="Z29" s="19"/>
      <c r="AA29" s="23"/>
      <c r="AB29" s="21"/>
    </row>
    <row r="30" spans="1:28" ht="15">
      <c r="A30" s="8" t="s">
        <v>55</v>
      </c>
      <c r="B30" s="3"/>
      <c r="C30" s="12"/>
      <c r="D30" s="12"/>
      <c r="E30" s="12"/>
      <c r="F30" s="12"/>
      <c r="G30" s="12"/>
      <c r="H30" s="12"/>
      <c r="I30" s="14">
        <v>3</v>
      </c>
      <c r="J30" s="17"/>
      <c r="K30" s="23"/>
      <c r="L30" s="17"/>
      <c r="M30" s="23"/>
      <c r="N30" s="17"/>
      <c r="O30" s="23"/>
      <c r="P30" s="17"/>
      <c r="Q30" s="23"/>
      <c r="R30" s="17"/>
      <c r="S30" s="23"/>
      <c r="T30" s="17"/>
      <c r="U30" s="23"/>
      <c r="V30" s="17"/>
      <c r="W30" s="23"/>
      <c r="X30" s="17"/>
      <c r="Y30" s="23"/>
      <c r="Z30" s="19"/>
      <c r="AA30" s="23"/>
      <c r="AB30" s="21"/>
    </row>
    <row r="31" spans="1:28" ht="15">
      <c r="A31" s="8"/>
      <c r="B31" s="3"/>
      <c r="C31" s="12"/>
      <c r="D31" s="12"/>
      <c r="E31" s="12"/>
      <c r="F31" s="12"/>
      <c r="G31" s="12"/>
      <c r="H31" s="12"/>
      <c r="I31" s="12"/>
      <c r="J31" s="17"/>
      <c r="K31" s="23"/>
      <c r="L31" s="17"/>
      <c r="M31" s="23"/>
      <c r="N31" s="17"/>
      <c r="O31" s="23"/>
      <c r="P31" s="17"/>
      <c r="Q31" s="23"/>
      <c r="R31" s="17"/>
      <c r="S31" s="23"/>
      <c r="T31" s="17"/>
      <c r="U31" s="23"/>
      <c r="V31" s="17"/>
      <c r="W31" s="23"/>
      <c r="X31" s="17"/>
      <c r="Y31" s="23"/>
      <c r="Z31" s="19"/>
      <c r="AA31" s="23"/>
      <c r="AB31" s="21"/>
    </row>
    <row r="32" spans="1:28" ht="15">
      <c r="A32" s="4" t="s">
        <v>73</v>
      </c>
      <c r="B32" s="5"/>
      <c r="C32" s="25"/>
      <c r="D32" s="25"/>
      <c r="E32" s="25"/>
      <c r="F32" s="25"/>
      <c r="G32" s="11"/>
      <c r="H32" s="11"/>
      <c r="I32" s="11"/>
      <c r="J32" s="17"/>
      <c r="K32" s="23"/>
      <c r="L32" s="17"/>
      <c r="M32" s="23"/>
      <c r="N32" s="17"/>
      <c r="O32" s="23"/>
      <c r="P32" s="17"/>
      <c r="Q32" s="23"/>
      <c r="R32" s="17"/>
      <c r="S32" s="23"/>
      <c r="T32" s="17"/>
      <c r="U32" s="23"/>
      <c r="V32" s="17"/>
      <c r="W32" s="23"/>
      <c r="X32" s="17"/>
      <c r="Y32" s="23"/>
      <c r="Z32" s="19"/>
      <c r="AA32" s="23"/>
      <c r="AB32" s="21"/>
    </row>
    <row r="33" spans="1:28" ht="15">
      <c r="A33" s="8" t="s">
        <v>107</v>
      </c>
      <c r="B33" s="3"/>
      <c r="C33" s="12"/>
      <c r="D33" s="12"/>
      <c r="E33" s="12"/>
      <c r="F33" s="12"/>
      <c r="G33" s="12"/>
      <c r="H33" s="12"/>
      <c r="I33" s="12"/>
      <c r="J33" s="14" t="s">
        <v>9</v>
      </c>
      <c r="K33" s="23"/>
      <c r="L33" s="17"/>
      <c r="M33" s="23"/>
      <c r="N33" s="17"/>
      <c r="O33" s="23"/>
      <c r="P33" s="17"/>
      <c r="Q33" s="23"/>
      <c r="R33" s="17"/>
      <c r="S33" s="23"/>
      <c r="T33" s="17"/>
      <c r="U33" s="23"/>
      <c r="V33" s="17"/>
      <c r="W33" s="23"/>
      <c r="X33" s="17"/>
      <c r="Y33" s="23"/>
      <c r="Z33" s="19"/>
      <c r="AA33" s="23"/>
      <c r="AB33" s="21"/>
    </row>
    <row r="34" spans="1:28" ht="15">
      <c r="A34" s="8"/>
      <c r="B34" s="3"/>
      <c r="C34" s="12"/>
      <c r="D34" s="12"/>
      <c r="E34" s="12"/>
      <c r="F34" s="12"/>
      <c r="G34" s="12"/>
      <c r="H34" s="12"/>
      <c r="I34" s="12"/>
      <c r="J34" s="12"/>
      <c r="K34" s="23"/>
      <c r="L34" s="17"/>
      <c r="M34" s="23"/>
      <c r="N34" s="17"/>
      <c r="O34" s="23"/>
      <c r="P34" s="17"/>
      <c r="Q34" s="23"/>
      <c r="R34" s="17"/>
      <c r="S34" s="23"/>
      <c r="T34" s="17"/>
      <c r="U34" s="23"/>
      <c r="V34" s="17"/>
      <c r="W34" s="23"/>
      <c r="X34" s="17"/>
      <c r="Y34" s="23"/>
      <c r="Z34" s="19"/>
      <c r="AA34" s="23"/>
      <c r="AB34" s="21"/>
    </row>
    <row r="35" spans="1:28" ht="15">
      <c r="A35" s="4" t="s">
        <v>74</v>
      </c>
      <c r="B35" s="6"/>
      <c r="C35" s="11"/>
      <c r="D35" s="11"/>
      <c r="E35" s="11"/>
      <c r="F35" s="11"/>
      <c r="G35" s="11"/>
      <c r="H35" s="11"/>
      <c r="I35" s="11"/>
      <c r="J35" s="11"/>
      <c r="K35" s="23"/>
      <c r="L35" s="17"/>
      <c r="M35" s="23"/>
      <c r="N35" s="17"/>
      <c r="O35" s="23"/>
      <c r="P35" s="17"/>
      <c r="Q35" s="23"/>
      <c r="R35" s="17"/>
      <c r="S35" s="23"/>
      <c r="T35" s="17"/>
      <c r="U35" s="23"/>
      <c r="V35" s="17"/>
      <c r="W35" s="23"/>
      <c r="X35" s="17"/>
      <c r="Y35" s="23"/>
      <c r="Z35" s="19"/>
      <c r="AA35" s="23"/>
      <c r="AB35" s="21"/>
    </row>
    <row r="36" spans="1:28" ht="15">
      <c r="A36" s="8" t="s">
        <v>40</v>
      </c>
      <c r="B36" s="3"/>
      <c r="C36" s="12"/>
      <c r="D36" s="12"/>
      <c r="E36" s="12"/>
      <c r="F36" s="12"/>
      <c r="G36" s="12"/>
      <c r="H36" s="12"/>
      <c r="I36" s="12"/>
      <c r="J36" s="12"/>
      <c r="K36" s="14">
        <v>0</v>
      </c>
      <c r="L36" s="17"/>
      <c r="M36" s="23"/>
      <c r="N36" s="17"/>
      <c r="O36" s="23"/>
      <c r="P36" s="17"/>
      <c r="Q36" s="23"/>
      <c r="R36" s="17"/>
      <c r="S36" s="23"/>
      <c r="T36" s="17"/>
      <c r="U36" s="23"/>
      <c r="V36" s="17"/>
      <c r="W36" s="23"/>
      <c r="X36" s="17"/>
      <c r="Y36" s="23"/>
      <c r="Z36" s="19"/>
      <c r="AA36" s="23"/>
      <c r="AB36" s="21"/>
    </row>
    <row r="37" spans="1:28" ht="15">
      <c r="A37" s="8"/>
      <c r="B37" s="3"/>
      <c r="C37" s="12"/>
      <c r="D37" s="12"/>
      <c r="E37" s="12"/>
      <c r="F37" s="12"/>
      <c r="G37" s="12"/>
      <c r="H37" s="12"/>
      <c r="I37" s="12"/>
      <c r="J37" s="12"/>
      <c r="K37" s="12"/>
      <c r="L37" s="17"/>
      <c r="M37" s="23"/>
      <c r="N37" s="17"/>
      <c r="O37" s="23"/>
      <c r="P37" s="17"/>
      <c r="Q37" s="23"/>
      <c r="R37" s="17"/>
      <c r="S37" s="23"/>
      <c r="T37" s="17"/>
      <c r="U37" s="23"/>
      <c r="V37" s="17"/>
      <c r="W37" s="23"/>
      <c r="X37" s="17"/>
      <c r="Y37" s="23"/>
      <c r="Z37" s="19"/>
      <c r="AA37" s="23"/>
      <c r="AB37" s="21"/>
    </row>
    <row r="38" spans="1:28" ht="15">
      <c r="A38" s="4" t="s">
        <v>5</v>
      </c>
      <c r="B38" s="6"/>
      <c r="C38" s="11"/>
      <c r="D38" s="11"/>
      <c r="E38" s="11"/>
      <c r="F38" s="11"/>
      <c r="G38" s="11"/>
      <c r="H38" s="11"/>
      <c r="I38" s="11"/>
      <c r="J38" s="11"/>
      <c r="K38" s="11"/>
      <c r="L38" s="17"/>
      <c r="M38" s="23"/>
      <c r="N38" s="17"/>
      <c r="O38" s="23"/>
      <c r="P38" s="17"/>
      <c r="Q38" s="23"/>
      <c r="R38" s="17"/>
      <c r="S38" s="23"/>
      <c r="T38" s="17"/>
      <c r="U38" s="23"/>
      <c r="V38" s="17"/>
      <c r="W38" s="23"/>
      <c r="X38" s="17"/>
      <c r="Y38" s="23"/>
      <c r="Z38" s="19"/>
      <c r="AA38" s="23"/>
      <c r="AB38" s="21"/>
    </row>
    <row r="39" spans="1:28" ht="15">
      <c r="A39" s="8" t="s">
        <v>67</v>
      </c>
      <c r="B39" s="3"/>
      <c r="C39" s="12"/>
      <c r="D39" s="12"/>
      <c r="E39" s="12"/>
      <c r="F39" s="12"/>
      <c r="G39" s="12"/>
      <c r="H39" s="12"/>
      <c r="I39" s="12"/>
      <c r="J39" s="12"/>
      <c r="K39" s="12"/>
      <c r="L39" s="14" t="s">
        <v>9</v>
      </c>
      <c r="M39" s="23"/>
      <c r="N39" s="17"/>
      <c r="O39" s="23"/>
      <c r="P39" s="17"/>
      <c r="Q39" s="23"/>
      <c r="R39" s="17"/>
      <c r="S39" s="23"/>
      <c r="T39" s="17"/>
      <c r="U39" s="23"/>
      <c r="V39" s="17"/>
      <c r="W39" s="23"/>
      <c r="X39" s="17"/>
      <c r="Y39" s="23"/>
      <c r="Z39" s="19"/>
      <c r="AA39" s="23"/>
      <c r="AB39" s="21"/>
    </row>
    <row r="40" spans="1:28" ht="15">
      <c r="A40" s="8"/>
      <c r="B40" s="3"/>
      <c r="C40" s="12"/>
      <c r="D40" s="12"/>
      <c r="E40" s="12"/>
      <c r="F40" s="12"/>
      <c r="G40" s="12"/>
      <c r="H40" s="12"/>
      <c r="I40" s="12"/>
      <c r="J40" s="12"/>
      <c r="K40" s="12"/>
      <c r="L40" s="12"/>
      <c r="M40" s="23"/>
      <c r="N40" s="17"/>
      <c r="O40" s="23"/>
      <c r="P40" s="17"/>
      <c r="Q40" s="23"/>
      <c r="R40" s="17"/>
      <c r="S40" s="23"/>
      <c r="T40" s="17"/>
      <c r="U40" s="23"/>
      <c r="V40" s="17"/>
      <c r="W40" s="23"/>
      <c r="X40" s="17"/>
      <c r="Y40" s="23"/>
      <c r="Z40" s="19"/>
      <c r="AA40" s="23"/>
      <c r="AB40" s="21"/>
    </row>
    <row r="41" spans="1:28" ht="15">
      <c r="A41" s="4" t="s">
        <v>44</v>
      </c>
      <c r="B41" s="6"/>
      <c r="C41" s="11"/>
      <c r="D41" s="11"/>
      <c r="E41" s="11"/>
      <c r="F41" s="11"/>
      <c r="G41" s="11"/>
      <c r="H41" s="11"/>
      <c r="I41" s="11"/>
      <c r="J41" s="11"/>
      <c r="K41" s="11"/>
      <c r="L41" s="11"/>
      <c r="M41" s="23"/>
      <c r="N41" s="17"/>
      <c r="O41" s="23"/>
      <c r="P41" s="17"/>
      <c r="Q41" s="23"/>
      <c r="R41" s="17"/>
      <c r="S41" s="23"/>
      <c r="T41" s="17"/>
      <c r="U41" s="23"/>
      <c r="V41" s="17"/>
      <c r="W41" s="23"/>
      <c r="X41" s="17"/>
      <c r="Y41" s="23"/>
      <c r="Z41" s="19"/>
      <c r="AA41" s="23"/>
      <c r="AB41" s="21"/>
    </row>
    <row r="42" spans="1:28" ht="15">
      <c r="A42" s="8" t="s">
        <v>68</v>
      </c>
      <c r="B42" s="3"/>
      <c r="C42" s="12"/>
      <c r="D42" s="12"/>
      <c r="E42" s="12"/>
      <c r="F42" s="12"/>
      <c r="G42" s="12"/>
      <c r="H42" s="12"/>
      <c r="I42" s="12"/>
      <c r="J42" s="12"/>
      <c r="K42" s="12"/>
      <c r="L42" s="12"/>
      <c r="M42" s="14">
        <v>0</v>
      </c>
      <c r="N42" s="17"/>
      <c r="O42" s="23"/>
      <c r="P42" s="17"/>
      <c r="Q42" s="23"/>
      <c r="R42" s="17"/>
      <c r="S42" s="23"/>
      <c r="T42" s="17"/>
      <c r="U42" s="23"/>
      <c r="V42" s="17"/>
      <c r="W42" s="23"/>
      <c r="X42" s="17"/>
      <c r="Y42" s="23"/>
      <c r="Z42" s="19"/>
      <c r="AA42" s="23"/>
      <c r="AB42" s="21"/>
    </row>
    <row r="43" spans="1:28" ht="15">
      <c r="A43" s="8"/>
      <c r="B43" s="3"/>
      <c r="C43" s="12"/>
      <c r="D43" s="12"/>
      <c r="E43" s="12"/>
      <c r="F43" s="12"/>
      <c r="G43" s="12"/>
      <c r="H43" s="12"/>
      <c r="I43" s="12"/>
      <c r="J43" s="12"/>
      <c r="K43" s="12"/>
      <c r="L43" s="12"/>
      <c r="M43" s="12"/>
      <c r="N43" s="17"/>
      <c r="O43" s="23"/>
      <c r="P43" s="17"/>
      <c r="Q43" s="23"/>
      <c r="R43" s="17"/>
      <c r="S43" s="23"/>
      <c r="T43" s="17"/>
      <c r="U43" s="23"/>
      <c r="V43" s="17"/>
      <c r="W43" s="23"/>
      <c r="X43" s="17"/>
      <c r="Y43" s="23"/>
      <c r="Z43" s="19"/>
      <c r="AA43" s="23"/>
      <c r="AB43" s="21"/>
    </row>
    <row r="44" spans="1:28" ht="15">
      <c r="A44" s="4" t="s">
        <v>46</v>
      </c>
      <c r="B44" s="6"/>
      <c r="C44" s="11"/>
      <c r="D44" s="11"/>
      <c r="E44" s="11"/>
      <c r="F44" s="11"/>
      <c r="G44" s="11"/>
      <c r="H44" s="11"/>
      <c r="I44" s="11"/>
      <c r="J44" s="11"/>
      <c r="K44" s="11"/>
      <c r="L44" s="11"/>
      <c r="M44" s="11"/>
      <c r="N44" s="17"/>
      <c r="O44" s="23"/>
      <c r="P44" s="17"/>
      <c r="Q44" s="23"/>
      <c r="R44" s="17"/>
      <c r="S44" s="23"/>
      <c r="T44" s="17"/>
      <c r="U44" s="23"/>
      <c r="V44" s="17"/>
      <c r="W44" s="23"/>
      <c r="X44" s="17"/>
      <c r="Y44" s="23"/>
      <c r="Z44" s="19"/>
      <c r="AA44" s="23"/>
      <c r="AB44" s="21"/>
    </row>
    <row r="45" spans="1:28" ht="15">
      <c r="A45" s="8" t="s">
        <v>69</v>
      </c>
      <c r="B45" s="3"/>
      <c r="C45" s="12"/>
      <c r="D45" s="12"/>
      <c r="E45" s="12"/>
      <c r="F45" s="12"/>
      <c r="G45" s="12"/>
      <c r="H45" s="12"/>
      <c r="I45" s="12"/>
      <c r="J45" s="12"/>
      <c r="K45" s="12"/>
      <c r="L45" s="12"/>
      <c r="M45" s="12"/>
      <c r="N45" s="137" t="s">
        <v>9</v>
      </c>
      <c r="O45" s="23"/>
      <c r="P45" s="17"/>
      <c r="Q45" s="23"/>
      <c r="R45" s="17"/>
      <c r="S45" s="23"/>
      <c r="T45" s="17"/>
      <c r="U45" s="23"/>
      <c r="V45" s="17"/>
      <c r="W45" s="23"/>
      <c r="X45" s="17"/>
      <c r="Y45" s="23"/>
      <c r="Z45" s="19"/>
      <c r="AA45" s="23"/>
      <c r="AB45" s="21"/>
    </row>
    <row r="46" spans="1:28" ht="15">
      <c r="A46" s="139" t="s">
        <v>100</v>
      </c>
      <c r="B46" s="3"/>
      <c r="C46" s="12"/>
      <c r="D46" s="12"/>
      <c r="E46" s="12"/>
      <c r="F46" s="12"/>
      <c r="G46" s="12"/>
      <c r="H46" s="12"/>
      <c r="I46" s="12"/>
      <c r="J46" s="12"/>
      <c r="K46" s="12"/>
      <c r="L46" s="12"/>
      <c r="M46" s="12"/>
      <c r="N46" s="137" t="s">
        <v>10</v>
      </c>
      <c r="O46" s="23"/>
      <c r="P46" s="17"/>
      <c r="Q46" s="23"/>
      <c r="R46" s="17"/>
      <c r="S46" s="23"/>
      <c r="T46" s="17"/>
      <c r="U46" s="23"/>
      <c r="V46" s="17"/>
      <c r="W46" s="23"/>
      <c r="X46" s="17"/>
      <c r="Y46" s="23"/>
      <c r="Z46" s="19"/>
      <c r="AA46" s="23"/>
      <c r="AB46" s="21"/>
    </row>
    <row r="47" spans="1:28" ht="15">
      <c r="A47" s="139" t="s">
        <v>101</v>
      </c>
      <c r="B47" s="3"/>
      <c r="C47" s="12"/>
      <c r="D47" s="12"/>
      <c r="E47" s="12"/>
      <c r="F47" s="12"/>
      <c r="G47" s="12"/>
      <c r="H47" s="12"/>
      <c r="I47" s="12"/>
      <c r="J47" s="12"/>
      <c r="K47" s="12"/>
      <c r="L47" s="12"/>
      <c r="M47" s="12"/>
      <c r="N47" s="137" t="s">
        <v>11</v>
      </c>
      <c r="O47" s="23"/>
      <c r="P47" s="17"/>
      <c r="Q47" s="23"/>
      <c r="R47" s="17"/>
      <c r="S47" s="23"/>
      <c r="T47" s="17"/>
      <c r="U47" s="23"/>
      <c r="V47" s="17"/>
      <c r="W47" s="23"/>
      <c r="X47" s="17"/>
      <c r="Y47" s="23"/>
      <c r="Z47" s="19"/>
      <c r="AA47" s="23"/>
      <c r="AB47" s="21"/>
    </row>
    <row r="48" spans="1:28" ht="15">
      <c r="A48" s="139" t="s">
        <v>102</v>
      </c>
      <c r="B48" s="3"/>
      <c r="C48" s="12"/>
      <c r="D48" s="12"/>
      <c r="E48" s="12"/>
      <c r="F48" s="12"/>
      <c r="G48" s="12"/>
      <c r="H48" s="12"/>
      <c r="I48" s="12"/>
      <c r="J48" s="12"/>
      <c r="K48" s="12"/>
      <c r="L48" s="12"/>
      <c r="M48" s="12"/>
      <c r="N48" s="137" t="s">
        <v>12</v>
      </c>
      <c r="O48" s="23"/>
      <c r="P48" s="17"/>
      <c r="Q48" s="23"/>
      <c r="R48" s="17"/>
      <c r="S48" s="23"/>
      <c r="T48" s="17"/>
      <c r="U48" s="23"/>
      <c r="V48" s="17"/>
      <c r="W48" s="23"/>
      <c r="X48" s="17"/>
      <c r="Y48" s="23"/>
      <c r="Z48" s="19"/>
      <c r="AA48" s="23"/>
      <c r="AB48" s="21"/>
    </row>
    <row r="49" spans="1:28" ht="15">
      <c r="A49" s="139" t="s">
        <v>103</v>
      </c>
      <c r="B49" s="3"/>
      <c r="C49" s="12"/>
      <c r="D49" s="12"/>
      <c r="E49" s="12"/>
      <c r="F49" s="12"/>
      <c r="G49" s="12"/>
      <c r="H49" s="12"/>
      <c r="I49" s="12"/>
      <c r="J49" s="12"/>
      <c r="K49" s="12"/>
      <c r="L49" s="12"/>
      <c r="M49" s="12"/>
      <c r="N49" s="137" t="s">
        <v>57</v>
      </c>
      <c r="O49" s="23"/>
      <c r="P49" s="17"/>
      <c r="Q49" s="23"/>
      <c r="R49" s="17"/>
      <c r="S49" s="23"/>
      <c r="T49" s="17"/>
      <c r="U49" s="23"/>
      <c r="V49" s="17"/>
      <c r="W49" s="23"/>
      <c r="X49" s="17"/>
      <c r="Y49" s="23"/>
      <c r="Z49" s="19"/>
      <c r="AA49" s="23"/>
      <c r="AB49" s="21"/>
    </row>
    <row r="50" spans="1:28" ht="15">
      <c r="A50" s="139" t="s">
        <v>104</v>
      </c>
      <c r="B50" s="3"/>
      <c r="C50" s="12"/>
      <c r="D50" s="12"/>
      <c r="E50" s="12"/>
      <c r="F50" s="12"/>
      <c r="G50" s="12"/>
      <c r="H50" s="12"/>
      <c r="I50" s="12"/>
      <c r="J50" s="12"/>
      <c r="K50" s="12"/>
      <c r="L50" s="12"/>
      <c r="M50" s="12"/>
      <c r="N50" s="137" t="s">
        <v>58</v>
      </c>
      <c r="O50" s="23"/>
      <c r="P50" s="17"/>
      <c r="Q50" s="23"/>
      <c r="R50" s="17"/>
      <c r="S50" s="23"/>
      <c r="T50" s="17"/>
      <c r="U50" s="23"/>
      <c r="V50" s="17"/>
      <c r="W50" s="23"/>
      <c r="X50" s="17"/>
      <c r="Y50" s="23"/>
      <c r="Z50" s="19"/>
      <c r="AA50" s="23"/>
      <c r="AB50" s="21"/>
    </row>
    <row r="51" spans="1:28" ht="15">
      <c r="A51" s="8"/>
      <c r="B51" s="3"/>
      <c r="C51" s="12"/>
      <c r="D51" s="12"/>
      <c r="E51" s="12"/>
      <c r="F51" s="12"/>
      <c r="G51" s="12"/>
      <c r="H51" s="12"/>
      <c r="I51" s="12"/>
      <c r="J51" s="12"/>
      <c r="K51" s="12"/>
      <c r="L51" s="12"/>
      <c r="M51" s="12"/>
      <c r="N51" s="15"/>
      <c r="O51" s="23"/>
      <c r="P51" s="17"/>
      <c r="Q51" s="23"/>
      <c r="R51" s="17"/>
      <c r="S51" s="23"/>
      <c r="T51" s="17"/>
      <c r="U51" s="23"/>
      <c r="V51" s="17"/>
      <c r="W51" s="23"/>
      <c r="X51" s="17"/>
      <c r="Y51" s="23"/>
      <c r="Z51" s="19"/>
      <c r="AA51" s="23"/>
      <c r="AB51" s="21"/>
    </row>
    <row r="52" spans="1:28" ht="15">
      <c r="A52" s="4" t="s">
        <v>47</v>
      </c>
      <c r="B52" s="5"/>
      <c r="C52" s="25"/>
      <c r="D52" s="25"/>
      <c r="E52" s="25"/>
      <c r="F52" s="25"/>
      <c r="G52" s="11"/>
      <c r="H52" s="11"/>
      <c r="I52" s="11"/>
      <c r="J52" s="11"/>
      <c r="K52" s="11"/>
      <c r="L52" s="11"/>
      <c r="M52" s="11"/>
      <c r="N52" s="11"/>
      <c r="O52" s="23"/>
      <c r="P52" s="17"/>
      <c r="Q52" s="23"/>
      <c r="R52" s="17"/>
      <c r="S52" s="23"/>
      <c r="T52" s="17"/>
      <c r="U52" s="23"/>
      <c r="V52" s="17"/>
      <c r="W52" s="23"/>
      <c r="X52" s="17"/>
      <c r="Y52" s="23"/>
      <c r="Z52" s="19"/>
      <c r="AA52" s="23"/>
      <c r="AB52" s="21"/>
    </row>
    <row r="53" spans="1:28" ht="15">
      <c r="A53" s="8" t="s">
        <v>69</v>
      </c>
      <c r="B53" s="3"/>
      <c r="C53" s="12"/>
      <c r="D53" s="12"/>
      <c r="E53" s="12"/>
      <c r="F53" s="12"/>
      <c r="G53" s="12"/>
      <c r="H53" s="12"/>
      <c r="I53" s="12"/>
      <c r="J53" s="12"/>
      <c r="K53" s="12"/>
      <c r="L53" s="12"/>
      <c r="M53" s="12"/>
      <c r="N53" s="12"/>
      <c r="O53" s="14">
        <v>0</v>
      </c>
      <c r="P53" s="17"/>
      <c r="Q53" s="23"/>
      <c r="R53" s="17"/>
      <c r="S53" s="23"/>
      <c r="T53" s="17"/>
      <c r="U53" s="23"/>
      <c r="V53" s="17"/>
      <c r="W53" s="23"/>
      <c r="X53" s="17"/>
      <c r="Y53" s="23"/>
      <c r="Z53" s="19"/>
      <c r="AA53" s="23"/>
      <c r="AB53" s="21"/>
    </row>
    <row r="54" spans="1:28" ht="15">
      <c r="A54" s="8" t="s">
        <v>45</v>
      </c>
      <c r="B54" s="3"/>
      <c r="C54" s="12"/>
      <c r="D54" s="12"/>
      <c r="E54" s="12"/>
      <c r="F54" s="12"/>
      <c r="G54" s="12"/>
      <c r="H54" s="12"/>
      <c r="I54" s="12"/>
      <c r="J54" s="12"/>
      <c r="K54" s="12"/>
      <c r="L54" s="12"/>
      <c r="M54" s="12"/>
      <c r="N54" s="12"/>
      <c r="O54" s="14">
        <v>1</v>
      </c>
      <c r="P54" s="17"/>
      <c r="Q54" s="23"/>
      <c r="R54" s="17"/>
      <c r="S54" s="23"/>
      <c r="T54" s="17"/>
      <c r="U54" s="23"/>
      <c r="V54" s="17"/>
      <c r="W54" s="23"/>
      <c r="X54" s="17"/>
      <c r="Y54" s="23"/>
      <c r="Z54" s="19"/>
      <c r="AA54" s="23"/>
      <c r="AB54" s="21"/>
    </row>
    <row r="55" spans="1:28" ht="15">
      <c r="A55" s="8" t="s">
        <v>59</v>
      </c>
      <c r="B55" s="3"/>
      <c r="C55" s="12"/>
      <c r="D55" s="12"/>
      <c r="E55" s="12"/>
      <c r="F55" s="12"/>
      <c r="G55" s="12"/>
      <c r="H55" s="12"/>
      <c r="I55" s="12"/>
      <c r="J55" s="12"/>
      <c r="K55" s="12"/>
      <c r="L55" s="12"/>
      <c r="M55" s="12"/>
      <c r="N55" s="12"/>
      <c r="O55" s="14">
        <v>2</v>
      </c>
      <c r="P55" s="17"/>
      <c r="Q55" s="23"/>
      <c r="R55" s="17"/>
      <c r="S55" s="23"/>
      <c r="T55" s="17"/>
      <c r="U55" s="23"/>
      <c r="V55" s="17"/>
      <c r="W55" s="23"/>
      <c r="X55" s="17"/>
      <c r="Y55" s="23"/>
      <c r="Z55" s="19"/>
      <c r="AA55" s="23"/>
      <c r="AB55" s="21"/>
    </row>
    <row r="56" spans="1:28" ht="15">
      <c r="A56" s="8"/>
      <c r="B56" s="3"/>
      <c r="C56" s="12"/>
      <c r="D56" s="12"/>
      <c r="E56" s="12"/>
      <c r="F56" s="12"/>
      <c r="G56" s="12"/>
      <c r="H56" s="12"/>
      <c r="I56" s="12"/>
      <c r="J56" s="12"/>
      <c r="K56" s="12"/>
      <c r="L56" s="12"/>
      <c r="M56" s="12"/>
      <c r="N56" s="12"/>
      <c r="O56" s="12"/>
      <c r="P56" s="17"/>
      <c r="Q56" s="23"/>
      <c r="R56" s="17"/>
      <c r="S56" s="23"/>
      <c r="T56" s="17"/>
      <c r="U56" s="23"/>
      <c r="V56" s="17"/>
      <c r="W56" s="23"/>
      <c r="X56" s="17"/>
      <c r="Y56" s="23"/>
      <c r="Z56" s="19"/>
      <c r="AA56" s="23"/>
      <c r="AB56" s="21"/>
    </row>
    <row r="57" spans="1:28" ht="15">
      <c r="A57" s="4" t="s">
        <v>6</v>
      </c>
      <c r="B57" s="6"/>
      <c r="C57" s="11"/>
      <c r="D57" s="11"/>
      <c r="E57" s="11"/>
      <c r="F57" s="11"/>
      <c r="G57" s="11"/>
      <c r="H57" s="11"/>
      <c r="I57" s="11"/>
      <c r="J57" s="11"/>
      <c r="K57" s="11"/>
      <c r="L57" s="11"/>
      <c r="M57" s="11"/>
      <c r="N57" s="11"/>
      <c r="O57" s="11"/>
      <c r="P57" s="17"/>
      <c r="Q57" s="23"/>
      <c r="R57" s="17"/>
      <c r="S57" s="23"/>
      <c r="T57" s="17"/>
      <c r="U57" s="23"/>
      <c r="V57" s="17"/>
      <c r="W57" s="23"/>
      <c r="X57" s="17"/>
      <c r="Y57" s="23"/>
      <c r="Z57" s="19"/>
      <c r="AA57" s="23"/>
      <c r="AB57" s="21"/>
    </row>
    <row r="58" spans="1:28" ht="12.75">
      <c r="A58" s="8" t="s">
        <v>31</v>
      </c>
      <c r="B58" s="3"/>
      <c r="C58" s="12"/>
      <c r="D58" s="12"/>
      <c r="E58" s="12"/>
      <c r="F58" s="12"/>
      <c r="G58" s="12"/>
      <c r="H58" s="12"/>
      <c r="I58" s="12"/>
      <c r="J58" s="12"/>
      <c r="K58" s="12"/>
      <c r="L58" s="12"/>
      <c r="M58" s="12"/>
      <c r="N58" s="12"/>
      <c r="O58" s="12"/>
      <c r="P58" s="14" t="s">
        <v>9</v>
      </c>
      <c r="Q58" s="23"/>
      <c r="R58" s="17"/>
      <c r="S58" s="23"/>
      <c r="T58" s="17"/>
      <c r="U58" s="23"/>
      <c r="V58" s="17"/>
      <c r="W58" s="23"/>
      <c r="X58" s="17"/>
      <c r="Y58" s="23"/>
      <c r="Z58" s="20"/>
      <c r="AA58" s="23"/>
      <c r="AB58" s="21"/>
    </row>
    <row r="59" spans="1:28" ht="12.75">
      <c r="A59" s="8"/>
      <c r="B59" s="3"/>
      <c r="C59" s="12"/>
      <c r="D59" s="12"/>
      <c r="E59" s="12"/>
      <c r="F59" s="12"/>
      <c r="G59" s="12"/>
      <c r="H59" s="12"/>
      <c r="I59" s="12"/>
      <c r="J59" s="12"/>
      <c r="K59" s="12"/>
      <c r="L59" s="12"/>
      <c r="M59" s="12"/>
      <c r="N59" s="12"/>
      <c r="O59" s="12"/>
      <c r="P59" s="12"/>
      <c r="Q59" s="23"/>
      <c r="R59" s="17"/>
      <c r="S59" s="23"/>
      <c r="T59" s="17"/>
      <c r="U59" s="23"/>
      <c r="V59" s="17"/>
      <c r="W59" s="23"/>
      <c r="X59" s="17"/>
      <c r="Y59" s="23"/>
      <c r="Z59" s="20"/>
      <c r="AA59" s="23"/>
      <c r="AB59" s="21"/>
    </row>
    <row r="60" spans="1:28" ht="12.75">
      <c r="A60" s="26" t="s">
        <v>71</v>
      </c>
      <c r="B60" s="27"/>
      <c r="C60" s="28"/>
      <c r="D60" s="28"/>
      <c r="E60" s="28"/>
      <c r="F60" s="28"/>
      <c r="G60" s="28"/>
      <c r="H60" s="28"/>
      <c r="I60" s="28"/>
      <c r="J60" s="28"/>
      <c r="K60" s="28"/>
      <c r="L60" s="28"/>
      <c r="M60" s="28"/>
      <c r="N60" s="28"/>
      <c r="O60" s="28"/>
      <c r="P60" s="29"/>
      <c r="Q60" s="14">
        <v>0</v>
      </c>
      <c r="R60" s="14" t="s">
        <v>9</v>
      </c>
      <c r="S60" s="14">
        <v>0</v>
      </c>
      <c r="T60" s="14" t="s">
        <v>9</v>
      </c>
      <c r="U60" s="14">
        <v>0</v>
      </c>
      <c r="V60" s="14" t="s">
        <v>9</v>
      </c>
      <c r="W60" s="14">
        <v>0</v>
      </c>
      <c r="X60" s="17"/>
      <c r="Y60" s="23"/>
      <c r="Z60" s="20"/>
      <c r="AA60" s="23"/>
      <c r="AB60" s="21"/>
    </row>
    <row r="61" spans="1:28" ht="12.75">
      <c r="A61" s="8"/>
      <c r="B61" s="3"/>
      <c r="C61" s="12"/>
      <c r="D61" s="12"/>
      <c r="E61" s="12"/>
      <c r="F61" s="12"/>
      <c r="G61" s="12"/>
      <c r="H61" s="12"/>
      <c r="I61" s="12"/>
      <c r="J61" s="12"/>
      <c r="K61" s="12"/>
      <c r="L61" s="12"/>
      <c r="M61" s="12"/>
      <c r="N61" s="12"/>
      <c r="O61" s="12"/>
      <c r="P61" s="12"/>
      <c r="Q61" s="12"/>
      <c r="R61" s="12"/>
      <c r="S61" s="12"/>
      <c r="T61" s="12"/>
      <c r="U61" s="12"/>
      <c r="V61" s="12"/>
      <c r="W61" s="12"/>
      <c r="X61" s="17"/>
      <c r="Y61" s="23"/>
      <c r="Z61" s="20"/>
      <c r="AA61" s="23"/>
      <c r="AB61" s="21"/>
    </row>
    <row r="62" spans="1:28" ht="12.75">
      <c r="A62" s="4" t="s">
        <v>7</v>
      </c>
      <c r="B62" s="5"/>
      <c r="C62" s="25"/>
      <c r="D62" s="25"/>
      <c r="E62" s="25"/>
      <c r="F62" s="25"/>
      <c r="G62" s="11"/>
      <c r="H62" s="11"/>
      <c r="I62" s="11"/>
      <c r="J62" s="11"/>
      <c r="K62" s="11"/>
      <c r="L62" s="11"/>
      <c r="M62" s="11"/>
      <c r="N62" s="11"/>
      <c r="O62" s="11"/>
      <c r="P62" s="11"/>
      <c r="Q62" s="11"/>
      <c r="R62" s="11"/>
      <c r="S62" s="11"/>
      <c r="T62" s="11"/>
      <c r="U62" s="11"/>
      <c r="V62" s="11"/>
      <c r="W62" s="11"/>
      <c r="X62" s="17"/>
      <c r="Y62" s="23"/>
      <c r="Z62" s="20"/>
      <c r="AA62" s="23"/>
      <c r="AB62" s="21"/>
    </row>
    <row r="63" spans="1:28" ht="12.75">
      <c r="A63" s="8" t="s">
        <v>56</v>
      </c>
      <c r="B63" s="3"/>
      <c r="C63" s="12"/>
      <c r="D63" s="12"/>
      <c r="E63" s="12"/>
      <c r="F63" s="12"/>
      <c r="G63" s="12"/>
      <c r="H63" s="12"/>
      <c r="I63" s="12"/>
      <c r="J63" s="12"/>
      <c r="K63" s="12"/>
      <c r="L63" s="12"/>
      <c r="M63" s="12"/>
      <c r="N63" s="12"/>
      <c r="O63" s="12"/>
      <c r="P63" s="12"/>
      <c r="Q63" s="12"/>
      <c r="R63" s="12"/>
      <c r="S63" s="12"/>
      <c r="T63" s="12"/>
      <c r="U63" s="12"/>
      <c r="V63" s="12"/>
      <c r="W63" s="12"/>
      <c r="X63" s="14" t="s">
        <v>9</v>
      </c>
      <c r="Y63" s="23"/>
      <c r="Z63" s="20"/>
      <c r="AA63" s="23"/>
      <c r="AB63" s="21"/>
    </row>
    <row r="64" spans="1:28" ht="12.75">
      <c r="A64" s="8"/>
      <c r="B64" s="3"/>
      <c r="C64" s="12"/>
      <c r="D64" s="12"/>
      <c r="E64" s="12"/>
      <c r="F64" s="12"/>
      <c r="G64" s="12"/>
      <c r="H64" s="12"/>
      <c r="I64" s="12"/>
      <c r="J64" s="12"/>
      <c r="K64" s="12"/>
      <c r="L64" s="12"/>
      <c r="M64" s="12"/>
      <c r="N64" s="12"/>
      <c r="O64" s="12"/>
      <c r="P64" s="12"/>
      <c r="Q64" s="12"/>
      <c r="R64" s="12"/>
      <c r="S64" s="12"/>
      <c r="T64" s="12"/>
      <c r="U64" s="12"/>
      <c r="V64" s="12"/>
      <c r="W64" s="12"/>
      <c r="X64" s="12"/>
      <c r="Y64" s="23"/>
      <c r="Z64" s="20"/>
      <c r="AA64" s="23"/>
      <c r="AB64" s="21"/>
    </row>
    <row r="65" spans="1:28" ht="12.75">
      <c r="A65" s="26" t="s">
        <v>71</v>
      </c>
      <c r="B65" s="27"/>
      <c r="C65" s="28"/>
      <c r="D65" s="28"/>
      <c r="E65" s="28"/>
      <c r="F65" s="28"/>
      <c r="G65" s="28"/>
      <c r="H65" s="28"/>
      <c r="I65" s="28"/>
      <c r="J65" s="28"/>
      <c r="K65" s="28"/>
      <c r="L65" s="28"/>
      <c r="M65" s="28"/>
      <c r="N65" s="28"/>
      <c r="O65" s="28"/>
      <c r="P65" s="28"/>
      <c r="Q65" s="28"/>
      <c r="R65" s="28"/>
      <c r="S65" s="28"/>
      <c r="T65" s="28"/>
      <c r="U65" s="28"/>
      <c r="V65" s="28"/>
      <c r="W65" s="28"/>
      <c r="X65" s="30"/>
      <c r="Y65" s="14">
        <v>0</v>
      </c>
      <c r="Z65" s="20"/>
      <c r="AA65" s="23"/>
      <c r="AB65" s="21"/>
    </row>
    <row r="66" spans="1:28" ht="12.75">
      <c r="A66" s="8"/>
      <c r="B66" s="3"/>
      <c r="C66" s="12"/>
      <c r="D66" s="12"/>
      <c r="E66" s="12"/>
      <c r="F66" s="12"/>
      <c r="G66" s="12"/>
      <c r="H66" s="12"/>
      <c r="I66" s="12"/>
      <c r="J66" s="12"/>
      <c r="K66" s="12"/>
      <c r="L66" s="12"/>
      <c r="M66" s="12"/>
      <c r="N66" s="12"/>
      <c r="O66" s="12"/>
      <c r="P66" s="12"/>
      <c r="Q66" s="12"/>
      <c r="R66" s="12"/>
      <c r="S66" s="12"/>
      <c r="T66" s="12"/>
      <c r="U66" s="12"/>
      <c r="V66" s="12"/>
      <c r="W66" s="12"/>
      <c r="X66" s="22"/>
      <c r="Y66" s="12"/>
      <c r="Z66" s="20"/>
      <c r="AA66" s="23"/>
      <c r="AB66" s="21"/>
    </row>
    <row r="67" spans="1:28" ht="12.75">
      <c r="A67" s="4" t="s">
        <v>19</v>
      </c>
      <c r="B67" s="5"/>
      <c r="C67" s="25"/>
      <c r="D67" s="25"/>
      <c r="E67" s="25"/>
      <c r="F67" s="25"/>
      <c r="G67" s="11"/>
      <c r="H67" s="11"/>
      <c r="I67" s="11"/>
      <c r="J67" s="11"/>
      <c r="K67" s="11"/>
      <c r="L67" s="11"/>
      <c r="M67" s="11"/>
      <c r="N67" s="11"/>
      <c r="O67" s="11"/>
      <c r="P67" s="11"/>
      <c r="Q67" s="11"/>
      <c r="R67" s="11"/>
      <c r="S67" s="11"/>
      <c r="T67" s="11"/>
      <c r="U67" s="11"/>
      <c r="V67" s="11"/>
      <c r="W67" s="11"/>
      <c r="X67" s="11"/>
      <c r="Y67" s="11"/>
      <c r="Z67" s="20"/>
      <c r="AA67" s="23"/>
      <c r="AB67" s="21"/>
    </row>
    <row r="68" spans="1:28" ht="12.75">
      <c r="A68" s="169" t="s">
        <v>116</v>
      </c>
      <c r="B68" s="170"/>
      <c r="C68" s="12"/>
      <c r="D68" s="12"/>
      <c r="E68" s="12"/>
      <c r="F68" s="12"/>
      <c r="G68" s="12"/>
      <c r="H68" s="12"/>
      <c r="I68" s="12"/>
      <c r="J68" s="12"/>
      <c r="K68" s="12"/>
      <c r="L68" s="12"/>
      <c r="M68" s="12"/>
      <c r="N68" s="12"/>
      <c r="O68" s="12"/>
      <c r="P68" s="12"/>
      <c r="Q68" s="12"/>
      <c r="R68" s="12"/>
      <c r="S68" s="12"/>
      <c r="T68" s="12"/>
      <c r="U68" s="12"/>
      <c r="V68" s="12"/>
      <c r="W68" s="12"/>
      <c r="X68" s="12"/>
      <c r="Z68" s="14" t="s">
        <v>9</v>
      </c>
      <c r="AA68" s="23"/>
      <c r="AB68" s="21"/>
    </row>
    <row r="69" spans="1:28" ht="12.75">
      <c r="A69" s="171"/>
      <c r="B69" s="170"/>
      <c r="C69" s="12"/>
      <c r="D69" s="12"/>
      <c r="E69" s="12"/>
      <c r="F69" s="12"/>
      <c r="G69" s="12"/>
      <c r="H69" s="12"/>
      <c r="I69" s="12"/>
      <c r="J69" s="12"/>
      <c r="K69" s="12"/>
      <c r="L69" s="12"/>
      <c r="M69" s="12"/>
      <c r="N69" s="12"/>
      <c r="O69" s="12"/>
      <c r="P69" s="12"/>
      <c r="Q69" s="12"/>
      <c r="R69" s="12"/>
      <c r="S69" s="12"/>
      <c r="T69" s="12"/>
      <c r="U69" s="12"/>
      <c r="V69" s="12"/>
      <c r="W69" s="12"/>
      <c r="X69" s="12"/>
      <c r="Y69" s="12"/>
      <c r="Z69" s="9"/>
      <c r="AA69" s="23"/>
      <c r="AB69" s="21"/>
    </row>
    <row r="70" spans="1:28" ht="12.75">
      <c r="A70" s="172" t="s">
        <v>20</v>
      </c>
      <c r="B70" s="173"/>
      <c r="C70" s="25"/>
      <c r="D70" s="25"/>
      <c r="E70" s="25"/>
      <c r="F70" s="25"/>
      <c r="G70" s="11"/>
      <c r="H70" s="11"/>
      <c r="I70" s="11"/>
      <c r="J70" s="11"/>
      <c r="K70" s="11"/>
      <c r="L70" s="11"/>
      <c r="M70" s="11"/>
      <c r="N70" s="11"/>
      <c r="O70" s="11"/>
      <c r="P70" s="11"/>
      <c r="Q70" s="11"/>
      <c r="R70" s="11"/>
      <c r="S70" s="11"/>
      <c r="T70" s="11"/>
      <c r="U70" s="11"/>
      <c r="V70" s="11"/>
      <c r="W70" s="11"/>
      <c r="X70" s="11"/>
      <c r="Y70" s="11"/>
      <c r="Z70" s="11"/>
      <c r="AA70" s="23"/>
      <c r="AB70" s="21"/>
    </row>
    <row r="71" spans="1:28" ht="12.75">
      <c r="A71" s="169" t="s">
        <v>117</v>
      </c>
      <c r="B71" s="170"/>
      <c r="C71" s="12"/>
      <c r="D71" s="12"/>
      <c r="E71" s="12"/>
      <c r="F71" s="12"/>
      <c r="G71" s="12"/>
      <c r="H71" s="12"/>
      <c r="I71" s="12"/>
      <c r="J71" s="12"/>
      <c r="K71" s="12"/>
      <c r="L71" s="12"/>
      <c r="M71" s="12"/>
      <c r="N71" s="12"/>
      <c r="O71" s="12"/>
      <c r="P71" s="12"/>
      <c r="Q71" s="12"/>
      <c r="R71" s="12"/>
      <c r="S71" s="12"/>
      <c r="T71" s="12"/>
      <c r="U71" s="12"/>
      <c r="V71" s="12"/>
      <c r="W71" s="12"/>
      <c r="X71" s="12"/>
      <c r="Y71" s="12"/>
      <c r="Z71" s="9"/>
      <c r="AA71" s="14">
        <v>0</v>
      </c>
      <c r="AB71" s="21"/>
    </row>
    <row r="72" spans="1:28" ht="12.75">
      <c r="A72" s="8"/>
      <c r="B72" s="3"/>
      <c r="C72" s="12"/>
      <c r="D72" s="12"/>
      <c r="E72" s="12"/>
      <c r="F72" s="12"/>
      <c r="G72" s="12"/>
      <c r="H72" s="12"/>
      <c r="I72" s="12"/>
      <c r="J72" s="12"/>
      <c r="K72" s="12"/>
      <c r="L72" s="12"/>
      <c r="M72" s="12"/>
      <c r="N72" s="12"/>
      <c r="O72" s="12"/>
      <c r="P72" s="12"/>
      <c r="Q72" s="12"/>
      <c r="R72" s="12"/>
      <c r="S72" s="12"/>
      <c r="T72" s="12"/>
      <c r="U72" s="12"/>
      <c r="V72" s="12"/>
      <c r="W72" s="12"/>
      <c r="X72" s="12"/>
      <c r="Y72" s="12"/>
      <c r="Z72" s="9"/>
      <c r="AA72" s="12"/>
      <c r="AB72" s="21"/>
    </row>
    <row r="73" spans="1:28" ht="12.75">
      <c r="A73" s="4" t="s">
        <v>8</v>
      </c>
      <c r="B73" s="5"/>
      <c r="C73" s="25"/>
      <c r="D73" s="25"/>
      <c r="E73" s="25"/>
      <c r="F73" s="25"/>
      <c r="G73" s="11"/>
      <c r="H73" s="11"/>
      <c r="I73" s="11"/>
      <c r="J73" s="11"/>
      <c r="K73" s="11"/>
      <c r="L73" s="11"/>
      <c r="M73" s="11"/>
      <c r="N73" s="11"/>
      <c r="O73" s="11"/>
      <c r="P73" s="11"/>
      <c r="Q73" s="11"/>
      <c r="R73" s="11"/>
      <c r="S73" s="11"/>
      <c r="T73" s="11"/>
      <c r="U73" s="11"/>
      <c r="V73" s="11"/>
      <c r="W73" s="11"/>
      <c r="X73" s="11"/>
      <c r="Y73" s="11"/>
      <c r="Z73" s="11"/>
      <c r="AA73" s="11"/>
      <c r="AB73" s="21"/>
    </row>
    <row r="74" spans="1:28" ht="12.75">
      <c r="A74" s="8" t="s">
        <v>112</v>
      </c>
      <c r="B74" s="3"/>
      <c r="C74" s="12"/>
      <c r="D74" s="12"/>
      <c r="E74" s="12"/>
      <c r="F74" s="12"/>
      <c r="G74" s="12"/>
      <c r="H74" s="12"/>
      <c r="I74" s="12"/>
      <c r="J74" s="12"/>
      <c r="K74" s="12"/>
      <c r="L74" s="12"/>
      <c r="M74" s="12"/>
      <c r="N74" s="12"/>
      <c r="O74" s="12"/>
      <c r="P74" s="12"/>
      <c r="Q74" s="12"/>
      <c r="R74" s="12"/>
      <c r="S74" s="12"/>
      <c r="T74" s="12"/>
      <c r="U74" s="12"/>
      <c r="V74" s="12"/>
      <c r="W74" s="12"/>
      <c r="X74" s="12"/>
      <c r="Y74" s="12"/>
      <c r="Z74" s="9"/>
      <c r="AA74" s="12"/>
      <c r="AB74" s="14" t="s">
        <v>9</v>
      </c>
    </row>
    <row r="75" spans="1:28" ht="12.75">
      <c r="A75" s="8"/>
      <c r="B75" s="3"/>
      <c r="C75" s="12"/>
      <c r="D75" s="12"/>
      <c r="E75" s="12"/>
      <c r="F75" s="12"/>
      <c r="G75" s="12"/>
      <c r="H75" s="12"/>
      <c r="I75" s="12"/>
      <c r="J75" s="12"/>
      <c r="K75" s="12"/>
      <c r="L75" s="12"/>
      <c r="M75" s="12"/>
      <c r="N75" s="12"/>
      <c r="O75" s="12"/>
      <c r="P75" s="12"/>
      <c r="Q75" s="12"/>
      <c r="R75" s="12"/>
      <c r="S75" s="12"/>
      <c r="T75" s="12"/>
      <c r="U75" s="12"/>
      <c r="V75" s="12"/>
      <c r="W75" s="12"/>
      <c r="X75" s="12"/>
      <c r="Y75" s="12"/>
      <c r="Z75" s="9"/>
      <c r="AA75" s="12"/>
      <c r="AB75" s="13"/>
    </row>
    <row r="76" spans="1:28" ht="15">
      <c r="A76" s="31"/>
      <c r="B76" s="6"/>
      <c r="C76" s="11"/>
      <c r="D76" s="11"/>
      <c r="E76" s="11"/>
      <c r="F76" s="11"/>
      <c r="G76" s="11"/>
      <c r="H76" s="11"/>
      <c r="I76" s="11"/>
      <c r="J76" s="11"/>
      <c r="K76" s="11"/>
      <c r="L76" s="11"/>
      <c r="M76" s="11"/>
      <c r="N76" s="11"/>
      <c r="O76" s="11"/>
      <c r="P76" s="11"/>
      <c r="Q76" s="11"/>
      <c r="R76" s="11"/>
      <c r="S76" s="11"/>
      <c r="T76" s="11"/>
      <c r="U76" s="11"/>
      <c r="V76" s="11"/>
      <c r="W76" s="11"/>
      <c r="X76" s="11"/>
      <c r="Y76" s="11"/>
      <c r="Z76" s="16"/>
      <c r="AA76" s="11"/>
      <c r="AB76" s="11"/>
    </row>
  </sheetData>
  <sheetProtection password="CAE7" sheet="1"/>
  <printOptions/>
  <pageMargins left="0.7" right="0.7" top="0.75" bottom="0.75" header="0.3" footer="0.3"/>
  <pageSetup horizontalDpi="600" verticalDpi="600" orientation="portrait" paperSize="8" scale="95" r:id="rId1"/>
</worksheet>
</file>

<file path=xl/worksheets/sheet3.xml><?xml version="1.0" encoding="utf-8"?>
<worksheet xmlns="http://schemas.openxmlformats.org/spreadsheetml/2006/main" xmlns:r="http://schemas.openxmlformats.org/officeDocument/2006/relationships">
  <dimension ref="A1:AE46"/>
  <sheetViews>
    <sheetView showGridLines="0" showRowColHeaders="0" zoomScalePageLayoutView="0" workbookViewId="0" topLeftCell="A1">
      <pane ySplit="4" topLeftCell="A5" activePane="bottomLeft" state="frozen"/>
      <selection pane="topLeft" activeCell="A1" sqref="A1"/>
      <selection pane="bottomLeft" activeCell="D81" sqref="D80:D81"/>
    </sheetView>
  </sheetViews>
  <sheetFormatPr defaultColWidth="9.140625" defaultRowHeight="15"/>
  <cols>
    <col min="1" max="4" width="9.140625" style="35" customWidth="1"/>
    <col min="5" max="5" width="7.57421875" style="35" customWidth="1"/>
    <col min="6" max="6" width="7.8515625" style="35" customWidth="1"/>
    <col min="7" max="31" width="3.28125" style="74" customWidth="1"/>
    <col min="32" max="16384" width="9.140625" style="35" customWidth="1"/>
  </cols>
  <sheetData>
    <row r="1" ht="14.25">
      <c r="A1" s="177" t="s">
        <v>119</v>
      </c>
    </row>
    <row r="2" ht="18">
      <c r="A2" s="178" t="str">
        <f>Database!A2</f>
        <v>P60 Agile Non-directional overcurrent &amp; directional Earth fault </v>
      </c>
    </row>
    <row r="3" spans="1:31" ht="14.25">
      <c r="A3" s="107"/>
      <c r="B3" s="104"/>
      <c r="C3" s="104"/>
      <c r="D3" s="104"/>
      <c r="E3" s="104"/>
      <c r="F3" s="140">
        <v>1</v>
      </c>
      <c r="G3" s="141">
        <v>2</v>
      </c>
      <c r="H3" s="141">
        <v>3</v>
      </c>
      <c r="I3" s="141">
        <v>4</v>
      </c>
      <c r="J3" s="141">
        <v>5</v>
      </c>
      <c r="K3" s="141">
        <v>6</v>
      </c>
      <c r="L3" s="141">
        <v>7</v>
      </c>
      <c r="M3" s="141">
        <v>8</v>
      </c>
      <c r="N3" s="141">
        <v>9</v>
      </c>
      <c r="O3" s="141">
        <v>10</v>
      </c>
      <c r="P3" s="141">
        <v>11</v>
      </c>
      <c r="Q3" s="141">
        <v>12</v>
      </c>
      <c r="R3" s="141">
        <v>13</v>
      </c>
      <c r="S3" s="141">
        <v>14</v>
      </c>
      <c r="T3" s="141">
        <v>15</v>
      </c>
      <c r="U3" s="141">
        <v>16</v>
      </c>
      <c r="V3" s="141">
        <v>17</v>
      </c>
      <c r="W3" s="141">
        <v>18</v>
      </c>
      <c r="X3" s="141">
        <v>19</v>
      </c>
      <c r="Y3" s="141">
        <v>20</v>
      </c>
      <c r="Z3" s="141">
        <v>21</v>
      </c>
      <c r="AA3" s="141">
        <v>22</v>
      </c>
      <c r="AB3" s="141">
        <v>23</v>
      </c>
      <c r="AC3" s="141">
        <v>24</v>
      </c>
      <c r="AD3" s="141">
        <v>25</v>
      </c>
      <c r="AE3" s="141">
        <v>26</v>
      </c>
    </row>
    <row r="4" spans="1:31" s="101" customFormat="1" ht="18">
      <c r="A4" s="108"/>
      <c r="B4" s="105"/>
      <c r="C4" s="105"/>
      <c r="D4" s="105"/>
      <c r="E4" s="106"/>
      <c r="F4" s="102" t="s">
        <v>14</v>
      </c>
      <c r="G4" s="79" t="str">
        <f>$G$6</f>
        <v>A</v>
      </c>
      <c r="H4" s="79">
        <f>$G$8</f>
        <v>0</v>
      </c>
      <c r="I4" s="79" t="str">
        <f>$G$10</f>
        <v>A</v>
      </c>
      <c r="J4" s="79">
        <f>$G$12</f>
        <v>0</v>
      </c>
      <c r="K4" s="79" t="str">
        <f>$G$14</f>
        <v>A</v>
      </c>
      <c r="L4" s="79">
        <f>$G$16</f>
        <v>0</v>
      </c>
      <c r="M4" s="79" t="str">
        <f>$G$18</f>
        <v>A</v>
      </c>
      <c r="N4" s="79">
        <f>$G$20</f>
        <v>0</v>
      </c>
      <c r="O4" s="79" t="str">
        <f>$G$22</f>
        <v>A</v>
      </c>
      <c r="P4" s="79">
        <f>$G$24</f>
        <v>0</v>
      </c>
      <c r="Q4" s="79" t="str">
        <f>$G$26</f>
        <v>B</v>
      </c>
      <c r="R4" s="79">
        <f>$G$28</f>
        <v>0</v>
      </c>
      <c r="S4" s="79" t="str">
        <f>$G$30</f>
        <v>A</v>
      </c>
      <c r="T4" s="103">
        <v>0</v>
      </c>
      <c r="U4" s="103" t="s">
        <v>9</v>
      </c>
      <c r="V4" s="103">
        <v>0</v>
      </c>
      <c r="W4" s="103" t="s">
        <v>9</v>
      </c>
      <c r="X4" s="103">
        <v>0</v>
      </c>
      <c r="Y4" s="103" t="s">
        <v>9</v>
      </c>
      <c r="Z4" s="103">
        <v>0</v>
      </c>
      <c r="AA4" s="79" t="str">
        <f>$G$39</f>
        <v>A</v>
      </c>
      <c r="AB4" s="103">
        <v>0</v>
      </c>
      <c r="AC4" s="79" t="str">
        <f>$G$42</f>
        <v>A</v>
      </c>
      <c r="AD4" s="79">
        <f>$G$44</f>
        <v>0</v>
      </c>
      <c r="AE4" s="79" t="str">
        <f>$G$46</f>
        <v>A</v>
      </c>
    </row>
    <row r="5" spans="1:31" ht="15.75">
      <c r="A5" s="138" t="str">
        <f>Database!$A$3</f>
        <v>Phase current transformer CT1:</v>
      </c>
      <c r="G5" s="98"/>
      <c r="H5" s="80"/>
      <c r="I5" s="80"/>
      <c r="J5" s="81"/>
      <c r="K5" s="82"/>
      <c r="L5" s="80"/>
      <c r="M5" s="80"/>
      <c r="N5" s="81"/>
      <c r="O5" s="82"/>
      <c r="P5" s="80"/>
      <c r="Q5" s="84"/>
      <c r="R5" s="86"/>
      <c r="S5" s="88"/>
      <c r="T5" s="160"/>
      <c r="U5" s="161"/>
      <c r="V5" s="162"/>
      <c r="W5" s="163"/>
      <c r="X5" s="148"/>
      <c r="Y5" s="162"/>
      <c r="Z5" s="78"/>
      <c r="AA5" s="85"/>
      <c r="AB5" s="150"/>
      <c r="AC5" s="84"/>
      <c r="AD5" s="77"/>
      <c r="AE5" s="88"/>
    </row>
    <row r="6" spans="4:31" ht="42" customHeight="1">
      <c r="D6" s="64"/>
      <c r="G6" s="79" t="str">
        <f>Database!$D$3</f>
        <v>A</v>
      </c>
      <c r="H6" s="80"/>
      <c r="I6" s="80"/>
      <c r="J6" s="81"/>
      <c r="K6" s="82"/>
      <c r="L6" s="80"/>
      <c r="M6" s="80"/>
      <c r="N6" s="81"/>
      <c r="O6" s="82"/>
      <c r="P6" s="80"/>
      <c r="Q6" s="84"/>
      <c r="R6" s="86"/>
      <c r="S6" s="88"/>
      <c r="T6" s="157"/>
      <c r="U6" s="148"/>
      <c r="V6" s="149"/>
      <c r="W6" s="109"/>
      <c r="X6" s="148"/>
      <c r="Y6" s="149"/>
      <c r="Z6" s="78"/>
      <c r="AA6" s="85"/>
      <c r="AB6" s="150"/>
      <c r="AC6" s="84"/>
      <c r="AD6" s="77"/>
      <c r="AE6" s="88"/>
    </row>
    <row r="7" spans="1:31" ht="15.75">
      <c r="A7" s="138" t="str">
        <f>Database!A10</f>
        <v>Phase current transformer CT2:</v>
      </c>
      <c r="G7" s="93"/>
      <c r="H7" s="80"/>
      <c r="I7" s="80"/>
      <c r="J7" s="81"/>
      <c r="K7" s="82"/>
      <c r="L7" s="80"/>
      <c r="M7" s="80"/>
      <c r="N7" s="81"/>
      <c r="O7" s="82"/>
      <c r="P7" s="80"/>
      <c r="Q7" s="84"/>
      <c r="R7" s="86"/>
      <c r="S7" s="88"/>
      <c r="T7" s="157"/>
      <c r="U7" s="148"/>
      <c r="V7" s="149"/>
      <c r="W7" s="109"/>
      <c r="X7" s="148"/>
      <c r="Y7" s="149"/>
      <c r="Z7" s="78"/>
      <c r="AA7" s="85"/>
      <c r="AB7" s="150"/>
      <c r="AC7" s="84"/>
      <c r="AD7" s="77"/>
      <c r="AE7" s="88"/>
    </row>
    <row r="8" spans="7:31" ht="28.5" customHeight="1">
      <c r="G8" s="89">
        <f>Database!$D$10</f>
        <v>0</v>
      </c>
      <c r="H8" s="80"/>
      <c r="I8" s="80"/>
      <c r="J8" s="81"/>
      <c r="K8" s="82"/>
      <c r="L8" s="80"/>
      <c r="M8" s="80"/>
      <c r="N8" s="81"/>
      <c r="O8" s="82"/>
      <c r="P8" s="80"/>
      <c r="Q8" s="84"/>
      <c r="R8" s="86"/>
      <c r="S8" s="88"/>
      <c r="T8" s="157"/>
      <c r="U8" s="148"/>
      <c r="V8" s="149"/>
      <c r="W8" s="109"/>
      <c r="X8" s="148"/>
      <c r="Y8" s="149"/>
      <c r="Z8" s="78"/>
      <c r="AA8" s="85"/>
      <c r="AB8" s="150"/>
      <c r="AC8" s="84"/>
      <c r="AD8" s="77"/>
      <c r="AE8" s="88"/>
    </row>
    <row r="9" spans="1:31" ht="15.75">
      <c r="A9" s="138" t="str">
        <f>Database!A17</f>
        <v>Phase current transformer CT3:</v>
      </c>
      <c r="G9" s="94"/>
      <c r="H9" s="90"/>
      <c r="I9" s="80"/>
      <c r="J9" s="81"/>
      <c r="K9" s="82"/>
      <c r="L9" s="80"/>
      <c r="M9" s="80"/>
      <c r="N9" s="81"/>
      <c r="O9" s="82"/>
      <c r="P9" s="80"/>
      <c r="Q9" s="80"/>
      <c r="R9" s="87"/>
      <c r="S9" s="88"/>
      <c r="T9" s="157"/>
      <c r="U9" s="148"/>
      <c r="V9" s="149"/>
      <c r="W9" s="109"/>
      <c r="X9" s="148"/>
      <c r="Y9" s="149"/>
      <c r="Z9" s="78"/>
      <c r="AA9" s="85"/>
      <c r="AB9" s="150"/>
      <c r="AC9" s="84"/>
      <c r="AD9" s="77"/>
      <c r="AE9" s="88"/>
    </row>
    <row r="10" spans="7:31" ht="28.5" customHeight="1">
      <c r="G10" s="89" t="str">
        <f>Database!$D$17</f>
        <v>A</v>
      </c>
      <c r="H10" s="76"/>
      <c r="I10" s="80"/>
      <c r="J10" s="81"/>
      <c r="K10" s="82"/>
      <c r="L10" s="80"/>
      <c r="M10" s="80"/>
      <c r="N10" s="81"/>
      <c r="O10" s="82"/>
      <c r="P10" s="80"/>
      <c r="Q10" s="80"/>
      <c r="R10" s="87"/>
      <c r="S10" s="88"/>
      <c r="T10" s="157"/>
      <c r="U10" s="148"/>
      <c r="V10" s="149"/>
      <c r="W10" s="109"/>
      <c r="X10" s="148"/>
      <c r="Y10" s="149"/>
      <c r="Z10" s="78"/>
      <c r="AA10" s="85"/>
      <c r="AB10" s="150"/>
      <c r="AC10" s="84"/>
      <c r="AD10" s="77"/>
      <c r="AE10" s="88"/>
    </row>
    <row r="11" spans="1:31" ht="15.75">
      <c r="A11" s="138" t="str">
        <f>Database!A24</f>
        <v>Earth current transformer CT-GND1:</v>
      </c>
      <c r="G11" s="95"/>
      <c r="H11" s="91"/>
      <c r="I11" s="91"/>
      <c r="J11" s="81"/>
      <c r="K11" s="82"/>
      <c r="L11" s="80"/>
      <c r="M11" s="80"/>
      <c r="N11" s="81"/>
      <c r="O11" s="82"/>
      <c r="P11" s="80"/>
      <c r="Q11" s="80"/>
      <c r="R11" s="87"/>
      <c r="S11" s="88"/>
      <c r="T11" s="157"/>
      <c r="U11" s="148"/>
      <c r="V11" s="149"/>
      <c r="W11" s="109"/>
      <c r="X11" s="148"/>
      <c r="Y11" s="149"/>
      <c r="Z11" s="78"/>
      <c r="AA11" s="85"/>
      <c r="AB11" s="150"/>
      <c r="AC11" s="84"/>
      <c r="AD11" s="77"/>
      <c r="AE11" s="88"/>
    </row>
    <row r="12" spans="7:31" ht="28.5" customHeight="1">
      <c r="G12" s="89">
        <f>Database!$D$24</f>
        <v>0</v>
      </c>
      <c r="H12" s="77"/>
      <c r="I12" s="77"/>
      <c r="J12" s="81"/>
      <c r="K12" s="82"/>
      <c r="L12" s="80"/>
      <c r="M12" s="80"/>
      <c r="N12" s="81"/>
      <c r="O12" s="82"/>
      <c r="P12" s="80"/>
      <c r="Q12" s="80"/>
      <c r="R12" s="87"/>
      <c r="S12" s="88"/>
      <c r="T12" s="157"/>
      <c r="U12" s="148"/>
      <c r="V12" s="149"/>
      <c r="W12" s="109"/>
      <c r="X12" s="148"/>
      <c r="Y12" s="149"/>
      <c r="Z12" s="78"/>
      <c r="AA12" s="85"/>
      <c r="AB12" s="150"/>
      <c r="AC12" s="84"/>
      <c r="AD12" s="77"/>
      <c r="AE12" s="88"/>
    </row>
    <row r="13" spans="1:31" ht="15.75">
      <c r="A13" s="138" t="str">
        <f>Database!A31</f>
        <v>Earth current transformer CT-GND2:</v>
      </c>
      <c r="G13" s="96"/>
      <c r="H13" s="92"/>
      <c r="I13" s="92"/>
      <c r="J13" s="92"/>
      <c r="K13" s="82"/>
      <c r="L13" s="80"/>
      <c r="M13" s="80"/>
      <c r="N13" s="81"/>
      <c r="O13" s="82"/>
      <c r="P13" s="80"/>
      <c r="Q13" s="80"/>
      <c r="R13" s="87"/>
      <c r="S13" s="88"/>
      <c r="T13" s="157"/>
      <c r="U13" s="148"/>
      <c r="V13" s="149"/>
      <c r="W13" s="109"/>
      <c r="X13" s="148"/>
      <c r="Y13" s="149"/>
      <c r="Z13" s="109"/>
      <c r="AA13" s="81"/>
      <c r="AB13" s="150"/>
      <c r="AC13" s="84"/>
      <c r="AD13" s="77"/>
      <c r="AE13" s="88"/>
    </row>
    <row r="14" spans="7:31" ht="23.25" customHeight="1">
      <c r="G14" s="89" t="str">
        <f>Database!D31</f>
        <v>A</v>
      </c>
      <c r="H14" s="75"/>
      <c r="I14" s="75"/>
      <c r="J14" s="75"/>
      <c r="K14" s="82"/>
      <c r="L14" s="80"/>
      <c r="M14" s="80"/>
      <c r="N14" s="81"/>
      <c r="O14" s="82"/>
      <c r="P14" s="80"/>
      <c r="Q14" s="80"/>
      <c r="R14" s="87"/>
      <c r="S14" s="88"/>
      <c r="T14" s="157"/>
      <c r="U14" s="148"/>
      <c r="V14" s="149"/>
      <c r="W14" s="109"/>
      <c r="X14" s="148"/>
      <c r="Y14" s="149"/>
      <c r="Z14" s="109"/>
      <c r="AA14" s="81"/>
      <c r="AB14" s="150"/>
      <c r="AC14" s="84"/>
      <c r="AD14" s="77"/>
      <c r="AE14" s="88"/>
    </row>
    <row r="15" spans="1:31" ht="15.75">
      <c r="A15" s="138" t="str">
        <f>Database!A38</f>
        <v>Power supply:</v>
      </c>
      <c r="G15" s="94"/>
      <c r="H15" s="90"/>
      <c r="I15" s="90"/>
      <c r="J15" s="90"/>
      <c r="K15" s="90"/>
      <c r="L15" s="80"/>
      <c r="M15" s="80"/>
      <c r="N15" s="81"/>
      <c r="O15" s="82"/>
      <c r="P15" s="80"/>
      <c r="Q15" s="80"/>
      <c r="R15" s="87"/>
      <c r="S15" s="88"/>
      <c r="T15" s="157"/>
      <c r="U15" s="148"/>
      <c r="V15" s="149"/>
      <c r="W15" s="109"/>
      <c r="X15" s="148"/>
      <c r="Y15" s="149"/>
      <c r="Z15" s="109"/>
      <c r="AA15" s="81"/>
      <c r="AB15" s="150"/>
      <c r="AC15" s="84"/>
      <c r="AD15" s="77"/>
      <c r="AE15" s="88"/>
    </row>
    <row r="16" spans="7:31" ht="42" customHeight="1">
      <c r="G16" s="89">
        <f>Database!$D$38</f>
        <v>0</v>
      </c>
      <c r="H16" s="76"/>
      <c r="I16" s="76"/>
      <c r="J16" s="76"/>
      <c r="K16" s="76"/>
      <c r="L16" s="80"/>
      <c r="M16" s="80"/>
      <c r="N16" s="81"/>
      <c r="O16" s="82"/>
      <c r="P16" s="80"/>
      <c r="Q16" s="80"/>
      <c r="R16" s="87"/>
      <c r="S16" s="88"/>
      <c r="T16" s="157"/>
      <c r="U16" s="148"/>
      <c r="V16" s="149"/>
      <c r="W16" s="109"/>
      <c r="X16" s="148"/>
      <c r="Y16" s="149"/>
      <c r="Z16" s="109"/>
      <c r="AA16" s="81"/>
      <c r="AB16" s="150"/>
      <c r="AC16" s="84"/>
      <c r="AD16" s="77"/>
      <c r="AE16" s="88"/>
    </row>
    <row r="17" spans="1:31" ht="15.75">
      <c r="A17" s="138" t="str">
        <f>Database!A45</f>
        <v>Binary inputs:</v>
      </c>
      <c r="G17" s="94"/>
      <c r="H17" s="90"/>
      <c r="I17" s="90"/>
      <c r="J17" s="90"/>
      <c r="K17" s="90"/>
      <c r="L17" s="90"/>
      <c r="M17" s="80"/>
      <c r="N17" s="81"/>
      <c r="O17" s="82"/>
      <c r="P17" s="80"/>
      <c r="Q17" s="80"/>
      <c r="R17" s="87"/>
      <c r="S17" s="88"/>
      <c r="T17" s="157"/>
      <c r="U17" s="148"/>
      <c r="V17" s="149"/>
      <c r="W17" s="109"/>
      <c r="X17" s="148"/>
      <c r="Y17" s="149"/>
      <c r="Z17" s="109"/>
      <c r="AA17" s="81"/>
      <c r="AB17" s="150"/>
      <c r="AC17" s="84"/>
      <c r="AD17" s="77"/>
      <c r="AE17" s="88"/>
    </row>
    <row r="18" spans="7:31" ht="21.75" customHeight="1">
      <c r="G18" s="89" t="str">
        <f>Database!$D$45</f>
        <v>A</v>
      </c>
      <c r="H18" s="76"/>
      <c r="I18" s="76"/>
      <c r="J18" s="76"/>
      <c r="K18" s="76"/>
      <c r="L18" s="76"/>
      <c r="M18" s="80"/>
      <c r="N18" s="81"/>
      <c r="O18" s="82"/>
      <c r="P18" s="80"/>
      <c r="Q18" s="80"/>
      <c r="R18" s="87"/>
      <c r="S18" s="88"/>
      <c r="T18" s="157"/>
      <c r="U18" s="148"/>
      <c r="V18" s="149"/>
      <c r="W18" s="109"/>
      <c r="X18" s="148"/>
      <c r="Y18" s="149"/>
      <c r="Z18" s="109"/>
      <c r="AA18" s="81"/>
      <c r="AB18" s="150"/>
      <c r="AC18" s="84"/>
      <c r="AD18" s="77"/>
      <c r="AE18" s="88"/>
    </row>
    <row r="19" spans="1:31" ht="15.75">
      <c r="A19" s="138" t="str">
        <f>Database!A52</f>
        <v>Binary outputs:</v>
      </c>
      <c r="G19" s="95"/>
      <c r="H19" s="91"/>
      <c r="I19" s="91"/>
      <c r="J19" s="91"/>
      <c r="K19" s="91"/>
      <c r="L19" s="91"/>
      <c r="M19" s="91"/>
      <c r="N19" s="81"/>
      <c r="O19" s="82"/>
      <c r="P19" s="80"/>
      <c r="Q19" s="80"/>
      <c r="R19" s="87"/>
      <c r="S19" s="88"/>
      <c r="T19" s="157"/>
      <c r="U19" s="148"/>
      <c r="V19" s="149"/>
      <c r="W19" s="109"/>
      <c r="X19" s="148"/>
      <c r="Y19" s="149"/>
      <c r="Z19" s="109"/>
      <c r="AA19" s="81"/>
      <c r="AB19" s="150"/>
      <c r="AC19" s="84"/>
      <c r="AD19" s="77"/>
      <c r="AE19" s="88"/>
    </row>
    <row r="20" spans="7:31" ht="22.5" customHeight="1">
      <c r="G20" s="89">
        <f>Database!$D$52</f>
        <v>0</v>
      </c>
      <c r="H20" s="77"/>
      <c r="I20" s="77"/>
      <c r="J20" s="77"/>
      <c r="K20" s="77"/>
      <c r="L20" s="77"/>
      <c r="M20" s="77"/>
      <c r="N20" s="81"/>
      <c r="O20" s="82"/>
      <c r="P20" s="80"/>
      <c r="Q20" s="80"/>
      <c r="R20" s="87"/>
      <c r="S20" s="88"/>
      <c r="T20" s="109"/>
      <c r="U20" s="148"/>
      <c r="V20" s="149"/>
      <c r="W20" s="109"/>
      <c r="X20" s="148"/>
      <c r="Y20" s="149"/>
      <c r="Z20" s="109"/>
      <c r="AA20" s="81"/>
      <c r="AB20" s="150"/>
      <c r="AC20" s="84"/>
      <c r="AD20" s="77"/>
      <c r="AE20" s="88"/>
    </row>
    <row r="21" spans="1:31" ht="15.75">
      <c r="A21" s="138" t="str">
        <f>Database!A59</f>
        <v>Analog Inputs and Outputs:</v>
      </c>
      <c r="G21" s="96"/>
      <c r="H21" s="92"/>
      <c r="I21" s="92"/>
      <c r="J21" s="92"/>
      <c r="K21" s="92"/>
      <c r="L21" s="92"/>
      <c r="M21" s="92"/>
      <c r="N21" s="92"/>
      <c r="O21" s="82"/>
      <c r="P21" s="80"/>
      <c r="Q21" s="80"/>
      <c r="R21" s="87"/>
      <c r="S21" s="88"/>
      <c r="T21" s="109"/>
      <c r="U21" s="148"/>
      <c r="V21" s="149"/>
      <c r="W21" s="109"/>
      <c r="X21" s="148"/>
      <c r="Y21" s="149"/>
      <c r="Z21" s="109"/>
      <c r="AA21" s="81"/>
      <c r="AB21" s="150"/>
      <c r="AC21" s="84"/>
      <c r="AD21" s="77"/>
      <c r="AE21" s="88"/>
    </row>
    <row r="22" spans="7:31" ht="23.25" customHeight="1">
      <c r="G22" s="89" t="str">
        <f>Database!$D$59</f>
        <v>A</v>
      </c>
      <c r="H22" s="75"/>
      <c r="I22" s="75"/>
      <c r="J22" s="75"/>
      <c r="K22" s="75"/>
      <c r="L22" s="75"/>
      <c r="M22" s="75"/>
      <c r="N22" s="75"/>
      <c r="O22" s="82"/>
      <c r="P22" s="80"/>
      <c r="Q22" s="80"/>
      <c r="R22" s="87"/>
      <c r="S22" s="88"/>
      <c r="T22" s="109"/>
      <c r="U22" s="148"/>
      <c r="V22" s="149"/>
      <c r="W22" s="109"/>
      <c r="X22" s="148"/>
      <c r="Y22" s="149"/>
      <c r="Z22" s="109"/>
      <c r="AA22" s="81"/>
      <c r="AB22" s="150"/>
      <c r="AC22" s="84"/>
      <c r="AD22" s="77"/>
      <c r="AE22" s="88"/>
    </row>
    <row r="23" spans="1:31" ht="15.75">
      <c r="A23" s="138" t="str">
        <f>Database!A66</f>
        <v>Communication - SCADA Port-1:</v>
      </c>
      <c r="G23" s="94"/>
      <c r="H23" s="90"/>
      <c r="I23" s="90"/>
      <c r="J23" s="90"/>
      <c r="K23" s="90"/>
      <c r="L23" s="90"/>
      <c r="M23" s="90"/>
      <c r="N23" s="90"/>
      <c r="O23" s="90"/>
      <c r="P23" s="80"/>
      <c r="Q23" s="80"/>
      <c r="R23" s="87"/>
      <c r="S23" s="88"/>
      <c r="T23" s="109"/>
      <c r="U23" s="148"/>
      <c r="V23" s="149"/>
      <c r="W23" s="109"/>
      <c r="X23" s="148"/>
      <c r="Y23" s="149"/>
      <c r="Z23" s="109"/>
      <c r="AA23" s="81"/>
      <c r="AB23" s="150"/>
      <c r="AC23" s="84"/>
      <c r="AD23" s="77"/>
      <c r="AE23" s="88"/>
    </row>
    <row r="24" spans="7:31" ht="22.5" customHeight="1">
      <c r="G24" s="89">
        <f>Database!D66</f>
        <v>0</v>
      </c>
      <c r="H24" s="76"/>
      <c r="I24" s="76"/>
      <c r="J24" s="76"/>
      <c r="K24" s="76"/>
      <c r="L24" s="76"/>
      <c r="M24" s="76"/>
      <c r="N24" s="76"/>
      <c r="O24" s="76"/>
      <c r="P24" s="80"/>
      <c r="Q24" s="80"/>
      <c r="R24" s="87"/>
      <c r="S24" s="88"/>
      <c r="T24" s="109"/>
      <c r="U24" s="148"/>
      <c r="V24" s="149"/>
      <c r="W24" s="109"/>
      <c r="X24" s="148"/>
      <c r="Y24" s="149"/>
      <c r="Z24" s="109"/>
      <c r="AA24" s="81"/>
      <c r="AB24" s="150"/>
      <c r="AC24" s="84"/>
      <c r="AD24" s="77"/>
      <c r="AE24" s="88"/>
    </row>
    <row r="25" spans="1:31" ht="15.75">
      <c r="A25" s="138" t="str">
        <f>Database!A73</f>
        <v>Communication - SCADA Port-2:</v>
      </c>
      <c r="G25" s="94"/>
      <c r="H25" s="90"/>
      <c r="I25" s="90"/>
      <c r="J25" s="90"/>
      <c r="K25" s="90"/>
      <c r="L25" s="90"/>
      <c r="M25" s="90"/>
      <c r="N25" s="90"/>
      <c r="O25" s="90"/>
      <c r="P25" s="90"/>
      <c r="Q25" s="80"/>
      <c r="R25" s="87"/>
      <c r="S25" s="88"/>
      <c r="T25" s="109"/>
      <c r="U25" s="148"/>
      <c r="V25" s="149"/>
      <c r="W25" s="109"/>
      <c r="X25" s="148"/>
      <c r="Y25" s="149"/>
      <c r="Z25" s="109"/>
      <c r="AA25" s="81"/>
      <c r="AB25" s="150"/>
      <c r="AC25" s="84"/>
      <c r="AD25" s="77"/>
      <c r="AE25" s="88"/>
    </row>
    <row r="26" spans="7:31" ht="65.25" customHeight="1">
      <c r="G26" s="89" t="str">
        <f>Database!$D$73</f>
        <v>B</v>
      </c>
      <c r="H26" s="76"/>
      <c r="I26" s="76"/>
      <c r="J26" s="76"/>
      <c r="K26" s="76"/>
      <c r="L26" s="76"/>
      <c r="M26" s="76"/>
      <c r="N26" s="76"/>
      <c r="O26" s="76"/>
      <c r="P26" s="76"/>
      <c r="Q26" s="80"/>
      <c r="R26" s="87"/>
      <c r="S26" s="88"/>
      <c r="T26" s="109"/>
      <c r="U26" s="148"/>
      <c r="V26" s="149"/>
      <c r="W26" s="109"/>
      <c r="X26" s="148"/>
      <c r="Y26" s="149"/>
      <c r="Z26" s="109"/>
      <c r="AA26" s="81"/>
      <c r="AB26" s="150"/>
      <c r="AC26" s="84"/>
      <c r="AD26" s="77"/>
      <c r="AE26" s="88"/>
    </row>
    <row r="27" spans="1:31" ht="15.75">
      <c r="A27" s="138" t="str">
        <f>Database!A82</f>
        <v>Communication - SCADA Port-3:</v>
      </c>
      <c r="G27" s="95"/>
      <c r="H27" s="91"/>
      <c r="I27" s="91"/>
      <c r="J27" s="91"/>
      <c r="K27" s="91"/>
      <c r="L27" s="91"/>
      <c r="M27" s="91"/>
      <c r="N27" s="91"/>
      <c r="O27" s="91"/>
      <c r="P27" s="91"/>
      <c r="Q27" s="91"/>
      <c r="R27" s="87"/>
      <c r="S27" s="88"/>
      <c r="T27" s="109"/>
      <c r="U27" s="148"/>
      <c r="V27" s="149"/>
      <c r="W27" s="109"/>
      <c r="X27" s="148"/>
      <c r="Y27" s="149"/>
      <c r="Z27" s="109"/>
      <c r="AA27" s="81"/>
      <c r="AB27" s="150"/>
      <c r="AC27" s="84"/>
      <c r="AD27" s="77"/>
      <c r="AE27" s="88"/>
    </row>
    <row r="28" spans="7:31" ht="34.5" customHeight="1">
      <c r="G28" s="89">
        <f>Database!$D$82</f>
        <v>0</v>
      </c>
      <c r="H28" s="77"/>
      <c r="I28" s="77"/>
      <c r="J28" s="77"/>
      <c r="K28" s="77"/>
      <c r="L28" s="77"/>
      <c r="M28" s="77"/>
      <c r="N28" s="77"/>
      <c r="O28" s="77"/>
      <c r="P28" s="77"/>
      <c r="Q28" s="77"/>
      <c r="R28" s="87"/>
      <c r="S28" s="88"/>
      <c r="T28" s="109"/>
      <c r="U28" s="148"/>
      <c r="V28" s="149"/>
      <c r="W28" s="109"/>
      <c r="X28" s="148"/>
      <c r="Y28" s="149"/>
      <c r="Z28" s="109"/>
      <c r="AA28" s="81"/>
      <c r="AB28" s="150"/>
      <c r="AC28" s="84"/>
      <c r="AD28" s="77"/>
      <c r="AE28" s="88"/>
    </row>
    <row r="29" spans="1:31" ht="15.75">
      <c r="A29" s="138" t="str">
        <f>Database!A89</f>
        <v>Communication - Interfaces:</v>
      </c>
      <c r="G29" s="96"/>
      <c r="H29" s="92"/>
      <c r="I29" s="92"/>
      <c r="J29" s="92"/>
      <c r="K29" s="92"/>
      <c r="L29" s="92"/>
      <c r="M29" s="92"/>
      <c r="N29" s="92"/>
      <c r="O29" s="92"/>
      <c r="P29" s="92"/>
      <c r="Q29" s="92"/>
      <c r="R29" s="92"/>
      <c r="S29" s="82"/>
      <c r="T29" s="109"/>
      <c r="U29" s="148"/>
      <c r="V29" s="149"/>
      <c r="W29" s="109"/>
      <c r="X29" s="148"/>
      <c r="Y29" s="149"/>
      <c r="Z29" s="109"/>
      <c r="AA29" s="81"/>
      <c r="AB29" s="150"/>
      <c r="AC29" s="84"/>
      <c r="AD29" s="77"/>
      <c r="AE29" s="88"/>
    </row>
    <row r="30" spans="7:31" ht="22.5" customHeight="1">
      <c r="G30" s="89" t="str">
        <f>Database!$D$89</f>
        <v>A</v>
      </c>
      <c r="H30" s="159"/>
      <c r="I30" s="97"/>
      <c r="J30" s="97"/>
      <c r="K30" s="97"/>
      <c r="L30" s="97"/>
      <c r="M30" s="97"/>
      <c r="N30" s="97"/>
      <c r="O30" s="97"/>
      <c r="P30" s="97"/>
      <c r="Q30" s="97"/>
      <c r="R30" s="97"/>
      <c r="S30" s="99"/>
      <c r="T30" s="109"/>
      <c r="U30" s="148"/>
      <c r="V30" s="149"/>
      <c r="W30" s="109"/>
      <c r="X30" s="148"/>
      <c r="Y30" s="149"/>
      <c r="Z30" s="109"/>
      <c r="AA30" s="81"/>
      <c r="AB30" s="150"/>
      <c r="AC30" s="84"/>
      <c r="AD30" s="77"/>
      <c r="AE30" s="88"/>
    </row>
    <row r="31" spans="1:31" ht="13.5" customHeight="1">
      <c r="A31" s="143" t="s">
        <v>108</v>
      </c>
      <c r="B31" s="121"/>
      <c r="C31" s="121"/>
      <c r="D31" s="121"/>
      <c r="E31" s="121"/>
      <c r="F31" s="144"/>
      <c r="G31" s="103">
        <v>0</v>
      </c>
      <c r="H31" s="145"/>
      <c r="I31" s="146"/>
      <c r="J31" s="146"/>
      <c r="K31" s="146"/>
      <c r="L31" s="146"/>
      <c r="M31" s="146"/>
      <c r="N31" s="146"/>
      <c r="O31" s="146"/>
      <c r="P31" s="146"/>
      <c r="Q31" s="146"/>
      <c r="R31" s="146"/>
      <c r="S31" s="146"/>
      <c r="T31" s="147"/>
      <c r="U31" s="148"/>
      <c r="V31" s="149"/>
      <c r="W31" s="109"/>
      <c r="X31" s="148"/>
      <c r="Y31" s="149"/>
      <c r="Z31" s="109"/>
      <c r="AA31" s="81"/>
      <c r="AB31" s="150"/>
      <c r="AC31" s="84"/>
      <c r="AD31" s="77"/>
      <c r="AE31" s="88"/>
    </row>
    <row r="32" spans="1:31" ht="13.5" customHeight="1">
      <c r="A32" s="143" t="s">
        <v>108</v>
      </c>
      <c r="B32" s="121"/>
      <c r="C32" s="121"/>
      <c r="D32" s="121"/>
      <c r="E32" s="121"/>
      <c r="F32" s="144"/>
      <c r="G32" s="103" t="s">
        <v>9</v>
      </c>
      <c r="H32" s="151"/>
      <c r="I32" s="152"/>
      <c r="J32" s="152"/>
      <c r="K32" s="152"/>
      <c r="L32" s="152"/>
      <c r="M32" s="152"/>
      <c r="N32" s="152"/>
      <c r="O32" s="152"/>
      <c r="P32" s="152"/>
      <c r="Q32" s="152"/>
      <c r="R32" s="152"/>
      <c r="S32" s="152"/>
      <c r="T32" s="152"/>
      <c r="U32" s="153"/>
      <c r="V32" s="149"/>
      <c r="W32" s="109"/>
      <c r="X32" s="148"/>
      <c r="Y32" s="149"/>
      <c r="Z32" s="109"/>
      <c r="AA32" s="81"/>
      <c r="AB32" s="150"/>
      <c r="AC32" s="84"/>
      <c r="AD32" s="77"/>
      <c r="AE32" s="88"/>
    </row>
    <row r="33" spans="1:31" ht="13.5" customHeight="1">
      <c r="A33" s="143" t="s">
        <v>108</v>
      </c>
      <c r="B33" s="121"/>
      <c r="C33" s="121"/>
      <c r="D33" s="121"/>
      <c r="E33" s="121"/>
      <c r="F33" s="144"/>
      <c r="G33" s="103">
        <v>0</v>
      </c>
      <c r="H33" s="154"/>
      <c r="I33" s="155"/>
      <c r="J33" s="155"/>
      <c r="K33" s="155"/>
      <c r="L33" s="155"/>
      <c r="M33" s="155"/>
      <c r="N33" s="155"/>
      <c r="O33" s="155"/>
      <c r="P33" s="155"/>
      <c r="Q33" s="155"/>
      <c r="R33" s="155"/>
      <c r="S33" s="155"/>
      <c r="T33" s="155"/>
      <c r="U33" s="155"/>
      <c r="V33" s="156"/>
      <c r="W33" s="109"/>
      <c r="X33" s="148"/>
      <c r="Y33" s="149"/>
      <c r="Z33" s="109"/>
      <c r="AA33" s="81"/>
      <c r="AB33" s="150"/>
      <c r="AC33" s="84"/>
      <c r="AD33" s="77"/>
      <c r="AE33" s="88"/>
    </row>
    <row r="34" spans="1:31" ht="13.5" customHeight="1">
      <c r="A34" s="143" t="s">
        <v>108</v>
      </c>
      <c r="B34" s="121"/>
      <c r="C34" s="121"/>
      <c r="D34" s="121"/>
      <c r="E34" s="121"/>
      <c r="F34" s="144"/>
      <c r="G34" s="103" t="s">
        <v>9</v>
      </c>
      <c r="H34" s="145"/>
      <c r="I34" s="146"/>
      <c r="J34" s="146"/>
      <c r="K34" s="146"/>
      <c r="L34" s="146"/>
      <c r="M34" s="146"/>
      <c r="N34" s="146"/>
      <c r="O34" s="146"/>
      <c r="P34" s="146"/>
      <c r="Q34" s="146"/>
      <c r="R34" s="146"/>
      <c r="S34" s="146"/>
      <c r="T34" s="146"/>
      <c r="U34" s="146"/>
      <c r="V34" s="146"/>
      <c r="W34" s="147"/>
      <c r="X34" s="148"/>
      <c r="Y34" s="149"/>
      <c r="Z34" s="109"/>
      <c r="AA34" s="81"/>
      <c r="AB34" s="150"/>
      <c r="AC34" s="84"/>
      <c r="AD34" s="77"/>
      <c r="AE34" s="88"/>
    </row>
    <row r="35" spans="1:31" ht="13.5" customHeight="1">
      <c r="A35" s="143" t="s">
        <v>108</v>
      </c>
      <c r="B35" s="121"/>
      <c r="C35" s="121"/>
      <c r="D35" s="121"/>
      <c r="E35" s="121"/>
      <c r="F35" s="144"/>
      <c r="G35" s="103">
        <v>0</v>
      </c>
      <c r="H35" s="151"/>
      <c r="I35" s="152"/>
      <c r="J35" s="152"/>
      <c r="K35" s="152"/>
      <c r="L35" s="152"/>
      <c r="M35" s="152"/>
      <c r="N35" s="152"/>
      <c r="O35" s="152"/>
      <c r="P35" s="152"/>
      <c r="Q35" s="152"/>
      <c r="R35" s="152"/>
      <c r="S35" s="152"/>
      <c r="T35" s="152"/>
      <c r="U35" s="152"/>
      <c r="V35" s="152"/>
      <c r="W35" s="152"/>
      <c r="X35" s="153"/>
      <c r="Y35" s="149"/>
      <c r="Z35" s="109"/>
      <c r="AA35" s="81"/>
      <c r="AB35" s="150"/>
      <c r="AC35" s="84"/>
      <c r="AD35" s="77"/>
      <c r="AE35" s="88"/>
    </row>
    <row r="36" spans="1:31" ht="13.5" customHeight="1">
      <c r="A36" s="143" t="s">
        <v>108</v>
      </c>
      <c r="B36" s="121"/>
      <c r="C36" s="121"/>
      <c r="D36" s="121"/>
      <c r="E36" s="121"/>
      <c r="F36" s="144"/>
      <c r="G36" s="103" t="s">
        <v>9</v>
      </c>
      <c r="H36" s="154"/>
      <c r="I36" s="155"/>
      <c r="J36" s="155"/>
      <c r="K36" s="155"/>
      <c r="L36" s="155"/>
      <c r="M36" s="155"/>
      <c r="N36" s="155"/>
      <c r="O36" s="155"/>
      <c r="P36" s="155"/>
      <c r="Q36" s="155"/>
      <c r="R36" s="155"/>
      <c r="S36" s="155"/>
      <c r="T36" s="155"/>
      <c r="U36" s="155"/>
      <c r="V36" s="155"/>
      <c r="W36" s="155"/>
      <c r="X36" s="155"/>
      <c r="Y36" s="156"/>
      <c r="Z36" s="157"/>
      <c r="AA36" s="81"/>
      <c r="AB36" s="150"/>
      <c r="AC36" s="84"/>
      <c r="AD36" s="77"/>
      <c r="AE36" s="88"/>
    </row>
    <row r="37" spans="1:31" ht="13.5" customHeight="1">
      <c r="A37" s="143" t="s">
        <v>108</v>
      </c>
      <c r="B37" s="121"/>
      <c r="C37" s="121"/>
      <c r="D37" s="121"/>
      <c r="E37" s="121"/>
      <c r="F37" s="144"/>
      <c r="G37" s="103">
        <v>0</v>
      </c>
      <c r="H37" s="78"/>
      <c r="I37" s="78"/>
      <c r="J37" s="78"/>
      <c r="K37" s="78"/>
      <c r="L37" s="78"/>
      <c r="M37" s="78"/>
      <c r="N37" s="78"/>
      <c r="O37" s="78"/>
      <c r="P37" s="78"/>
      <c r="Q37" s="78"/>
      <c r="R37" s="146"/>
      <c r="S37" s="158"/>
      <c r="T37" s="83"/>
      <c r="U37" s="83"/>
      <c r="V37" s="83"/>
      <c r="W37" s="83"/>
      <c r="X37" s="83"/>
      <c r="Y37" s="158"/>
      <c r="Z37" s="147"/>
      <c r="AA37" s="81"/>
      <c r="AB37" s="150"/>
      <c r="AC37" s="84"/>
      <c r="AD37" s="77"/>
      <c r="AE37" s="88"/>
    </row>
    <row r="38" spans="1:31" ht="15.75">
      <c r="A38" s="138" t="str">
        <f>Database!A96</f>
        <v>Connectors U/I-measuring:</v>
      </c>
      <c r="G38" s="95"/>
      <c r="H38" s="91"/>
      <c r="I38" s="91"/>
      <c r="J38" s="91"/>
      <c r="K38" s="91"/>
      <c r="L38" s="91"/>
      <c r="M38" s="91"/>
      <c r="N38" s="91"/>
      <c r="O38" s="91"/>
      <c r="P38" s="91"/>
      <c r="Q38" s="91"/>
      <c r="R38" s="87"/>
      <c r="S38" s="77"/>
      <c r="T38" s="91"/>
      <c r="U38" s="91"/>
      <c r="V38" s="91"/>
      <c r="W38" s="91"/>
      <c r="X38" s="91"/>
      <c r="Y38" s="91"/>
      <c r="Z38" s="91"/>
      <c r="AA38" s="81"/>
      <c r="AB38" s="150"/>
      <c r="AC38" s="84"/>
      <c r="AD38" s="77"/>
      <c r="AE38" s="88"/>
    </row>
    <row r="39" spans="7:31" ht="22.5" customHeight="1">
      <c r="G39" s="89" t="str">
        <f>Database!$D$96</f>
        <v>A</v>
      </c>
      <c r="H39" s="164"/>
      <c r="I39" s="165"/>
      <c r="J39" s="165"/>
      <c r="K39" s="165"/>
      <c r="L39" s="165"/>
      <c r="M39" s="165"/>
      <c r="N39" s="165"/>
      <c r="O39" s="165"/>
      <c r="P39" s="165"/>
      <c r="Q39" s="165"/>
      <c r="R39" s="165"/>
      <c r="S39" s="165"/>
      <c r="T39" s="165"/>
      <c r="U39" s="165"/>
      <c r="V39" s="165"/>
      <c r="W39" s="165"/>
      <c r="X39" s="165"/>
      <c r="Y39" s="165"/>
      <c r="Z39" s="165"/>
      <c r="AA39" s="100"/>
      <c r="AB39" s="150"/>
      <c r="AC39" s="84"/>
      <c r="AD39" s="77"/>
      <c r="AE39" s="88"/>
    </row>
    <row r="40" spans="1:31" ht="13.5" customHeight="1">
      <c r="A40" s="143" t="s">
        <v>108</v>
      </c>
      <c r="B40" s="121"/>
      <c r="C40" s="121"/>
      <c r="D40" s="121"/>
      <c r="E40" s="121"/>
      <c r="F40" s="144"/>
      <c r="G40" s="103">
        <v>0</v>
      </c>
      <c r="H40" s="166"/>
      <c r="I40" s="166"/>
      <c r="J40" s="166"/>
      <c r="K40" s="166"/>
      <c r="L40" s="166"/>
      <c r="M40" s="166"/>
      <c r="N40" s="166"/>
      <c r="O40" s="166"/>
      <c r="P40" s="166"/>
      <c r="Q40" s="166"/>
      <c r="R40" s="166"/>
      <c r="S40" s="166"/>
      <c r="T40" s="166"/>
      <c r="U40" s="166"/>
      <c r="V40" s="166"/>
      <c r="W40" s="166"/>
      <c r="X40" s="166"/>
      <c r="Y40" s="166"/>
      <c r="Z40" s="166"/>
      <c r="AA40" s="167"/>
      <c r="AB40" s="156"/>
      <c r="AC40" s="80"/>
      <c r="AD40" s="77"/>
      <c r="AE40" s="88"/>
    </row>
    <row r="41" spans="1:31" ht="15.75">
      <c r="A41" s="138" t="str">
        <f>Database!A103</f>
        <v>Firmware version (FW):</v>
      </c>
      <c r="G41" s="94"/>
      <c r="H41" s="90"/>
      <c r="I41" s="90"/>
      <c r="J41" s="90"/>
      <c r="K41" s="90"/>
      <c r="L41" s="90"/>
      <c r="M41" s="90"/>
      <c r="N41" s="90"/>
      <c r="O41" s="90"/>
      <c r="P41" s="90"/>
      <c r="Q41" s="90"/>
      <c r="R41" s="90"/>
      <c r="S41" s="90"/>
      <c r="T41" s="90"/>
      <c r="U41" s="90"/>
      <c r="V41" s="90"/>
      <c r="W41" s="90"/>
      <c r="X41" s="90"/>
      <c r="Y41" s="90"/>
      <c r="Z41" s="90"/>
      <c r="AA41" s="90"/>
      <c r="AB41" s="90"/>
      <c r="AC41" s="80"/>
      <c r="AD41" s="77"/>
      <c r="AE41" s="88"/>
    </row>
    <row r="42" spans="7:31" ht="22.5" customHeight="1">
      <c r="G42" s="79" t="str">
        <f>Database!$D$103</f>
        <v>A</v>
      </c>
      <c r="H42" s="76"/>
      <c r="I42" s="76"/>
      <c r="J42" s="76"/>
      <c r="K42" s="76"/>
      <c r="L42" s="76"/>
      <c r="M42" s="76"/>
      <c r="N42" s="76"/>
      <c r="O42" s="76"/>
      <c r="P42" s="76"/>
      <c r="Q42" s="76"/>
      <c r="R42" s="76"/>
      <c r="S42" s="76"/>
      <c r="T42" s="76"/>
      <c r="U42" s="76"/>
      <c r="V42" s="76"/>
      <c r="W42" s="76"/>
      <c r="X42" s="76"/>
      <c r="Y42" s="76"/>
      <c r="Z42" s="76"/>
      <c r="AA42" s="76"/>
      <c r="AB42" s="113"/>
      <c r="AC42" s="114"/>
      <c r="AD42" s="77"/>
      <c r="AE42" s="88"/>
    </row>
    <row r="43" spans="1:31" ht="15.75">
      <c r="A43" s="138" t="str">
        <f>Database!A110</f>
        <v>Hardware version (HW):</v>
      </c>
      <c r="G43" s="94"/>
      <c r="H43" s="91"/>
      <c r="I43" s="91"/>
      <c r="J43" s="91"/>
      <c r="K43" s="91"/>
      <c r="L43" s="91"/>
      <c r="M43" s="91"/>
      <c r="N43" s="91"/>
      <c r="O43" s="91"/>
      <c r="P43" s="91"/>
      <c r="Q43" s="91"/>
      <c r="R43" s="91"/>
      <c r="S43" s="91"/>
      <c r="T43" s="91"/>
      <c r="U43" s="91"/>
      <c r="V43" s="91"/>
      <c r="W43" s="91"/>
      <c r="X43" s="91"/>
      <c r="Y43" s="91"/>
      <c r="Z43" s="91"/>
      <c r="AA43" s="91"/>
      <c r="AB43" s="91"/>
      <c r="AC43" s="91"/>
      <c r="AD43" s="77"/>
      <c r="AE43" s="88"/>
    </row>
    <row r="44" spans="7:31" ht="22.5" customHeight="1">
      <c r="G44" s="79">
        <f>Database!$D$110</f>
        <v>0</v>
      </c>
      <c r="H44" s="77"/>
      <c r="I44" s="77"/>
      <c r="J44" s="77"/>
      <c r="K44" s="77"/>
      <c r="L44" s="77"/>
      <c r="M44" s="77"/>
      <c r="N44" s="77"/>
      <c r="O44" s="77"/>
      <c r="P44" s="77"/>
      <c r="Q44" s="77"/>
      <c r="R44" s="77"/>
      <c r="S44" s="77"/>
      <c r="T44" s="77"/>
      <c r="U44" s="77"/>
      <c r="V44" s="77"/>
      <c r="W44" s="77"/>
      <c r="X44" s="77"/>
      <c r="Y44" s="77"/>
      <c r="Z44" s="77"/>
      <c r="AA44" s="77"/>
      <c r="AB44" s="77"/>
      <c r="AC44" s="77"/>
      <c r="AD44" s="77"/>
      <c r="AE44" s="88"/>
    </row>
    <row r="45" spans="1:31" ht="15.75">
      <c r="A45" s="138" t="str">
        <f>Database!$A$117</f>
        <v>Menu language:</v>
      </c>
      <c r="G45" s="96"/>
      <c r="H45" s="92"/>
      <c r="I45" s="92"/>
      <c r="J45" s="92"/>
      <c r="K45" s="92"/>
      <c r="L45" s="92"/>
      <c r="M45" s="92"/>
      <c r="N45" s="92"/>
      <c r="O45" s="92"/>
      <c r="P45" s="92"/>
      <c r="Q45" s="92"/>
      <c r="R45" s="92"/>
      <c r="S45" s="92"/>
      <c r="T45" s="92"/>
      <c r="U45" s="92"/>
      <c r="V45" s="92"/>
      <c r="W45" s="92"/>
      <c r="X45" s="92"/>
      <c r="Y45" s="92"/>
      <c r="Z45" s="92"/>
      <c r="AA45" s="92"/>
      <c r="AB45" s="92"/>
      <c r="AC45" s="92"/>
      <c r="AD45" s="92"/>
      <c r="AE45" s="82"/>
    </row>
    <row r="46" spans="7:31" ht="22.5" customHeight="1">
      <c r="G46" s="79" t="str">
        <f>Database!$D$117</f>
        <v>A</v>
      </c>
      <c r="H46" s="159"/>
      <c r="I46" s="97"/>
      <c r="J46" s="97"/>
      <c r="K46" s="97"/>
      <c r="L46" s="97"/>
      <c r="M46" s="97"/>
      <c r="N46" s="97"/>
      <c r="O46" s="97"/>
      <c r="P46" s="97"/>
      <c r="Q46" s="97"/>
      <c r="R46" s="97"/>
      <c r="S46" s="97"/>
      <c r="T46" s="97"/>
      <c r="U46" s="97"/>
      <c r="V46" s="97"/>
      <c r="W46" s="97"/>
      <c r="X46" s="97"/>
      <c r="Y46" s="97"/>
      <c r="Z46" s="97"/>
      <c r="AA46" s="97"/>
      <c r="AB46" s="97"/>
      <c r="AC46" s="97"/>
      <c r="AD46" s="97"/>
      <c r="AE46" s="99"/>
    </row>
  </sheetData>
  <sheetProtection password="CAE7" sheet="1"/>
  <printOptions/>
  <pageMargins left="0.7" right="0.7" top="0.75" bottom="0.75" header="0.3" footer="0.3"/>
  <pageSetup horizontalDpi="1200" verticalDpi="12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D133"/>
  <sheetViews>
    <sheetView zoomScalePageLayoutView="0" workbookViewId="0" topLeftCell="A1">
      <selection activeCell="A1" sqref="A1"/>
    </sheetView>
  </sheetViews>
  <sheetFormatPr defaultColWidth="9.140625" defaultRowHeight="15"/>
  <cols>
    <col min="1" max="1" width="43.421875" style="36" customWidth="1"/>
    <col min="2" max="2" width="2.00390625" style="36" bestFit="1" customWidth="1"/>
    <col min="3" max="3" width="55.421875" style="36" bestFit="1" customWidth="1"/>
    <col min="4" max="4" width="2.28125" style="47" bestFit="1" customWidth="1"/>
    <col min="5" max="16384" width="9.140625" style="36" customWidth="1"/>
  </cols>
  <sheetData>
    <row r="1" spans="1:3" ht="12">
      <c r="A1" s="72" t="s">
        <v>92</v>
      </c>
      <c r="B1" s="72"/>
      <c r="C1" s="73">
        <f ca="1">TODAY()</f>
        <v>43468</v>
      </c>
    </row>
    <row r="2" spans="1:3" ht="12">
      <c r="A2" s="63" t="str">
        <f>HLOOKUP('Date Drivers'!$B$1,'Date Drivers'!$A$2:$AA$209,2,FALSE)</f>
        <v>P60 Agile Non-directional overcurrent &amp; directional Earth fault </v>
      </c>
      <c r="B2" s="63"/>
      <c r="C2" s="72" t="str">
        <f>"P162"&amp;D3&amp;D10&amp;D17&amp;D24&amp;D31&amp;D38&amp;D45&amp;D52&amp;D59&amp;D66&amp;D73&amp;D82&amp;D89&amp;B125&amp;B126&amp;B127&amp;B128&amp;B129&amp;B130&amp;B131&amp;D96&amp;B133&amp;D103&amp;D110&amp;D117</f>
        <v>P162A0A0A0A0A0B0A0A0A0A0A0A0A</v>
      </c>
    </row>
    <row r="3" spans="1:4" ht="12">
      <c r="A3" s="58" t="str">
        <f>'Date Drivers'!$A$6</f>
        <v>Phase current transformer CT1:</v>
      </c>
      <c r="B3" s="70">
        <v>1</v>
      </c>
      <c r="C3" s="65" t="str">
        <f>VLOOKUP($B$3,$B$4:$D$8,2,FALSE)</f>
        <v>CT1: 1 A secondary, rated current</v>
      </c>
      <c r="D3" s="65" t="str">
        <f>VLOOKUP($B$3,$B$4:$D$8,3,FALSE)</f>
        <v>A</v>
      </c>
    </row>
    <row r="4" spans="2:4" ht="12">
      <c r="B4" s="49">
        <v>1</v>
      </c>
      <c r="C4" s="60" t="str">
        <f>HLOOKUP('Date Drivers'!$B$1,'Date Drivers'!$A$2:$AA$209,5,FALSE)</f>
        <v>CT1: 1 A secondary, rated current</v>
      </c>
      <c r="D4" s="51" t="str">
        <f>HLOOKUP('Date Drivers'!$B$1,'Date Drivers'!$A$2:$AA$209,10,FALSE)</f>
        <v>A</v>
      </c>
    </row>
    <row r="5" spans="2:4" ht="12">
      <c r="B5" s="50">
        <v>2</v>
      </c>
      <c r="C5" s="61" t="str">
        <f>HLOOKUP('Date Drivers'!$B$1,'Date Drivers'!$A$2:$AA$209,6,FALSE)</f>
        <v>CT1: 5 A secondary, rated current</v>
      </c>
      <c r="D5" s="52" t="str">
        <f>HLOOKUP('Date Drivers'!$B$1,'Date Drivers'!$A$2:$AA$209,11,FALSE)</f>
        <v>B</v>
      </c>
    </row>
    <row r="6" spans="2:4" ht="12">
      <c r="B6" s="50">
        <v>3</v>
      </c>
      <c r="C6" s="61" t="str">
        <f>HLOOKUP('Date Drivers'!$B$1,'Date Drivers'!$A$2:$AA$209,7,FALSE)</f>
        <v>CT1-MP: 1 A secondary, rated current (M: 0-3×In, P: 0-32×In)</v>
      </c>
      <c r="D6" s="52" t="str">
        <f>HLOOKUP('Date Drivers'!$B$1,'Date Drivers'!$A$2:$AA$209,12,FALSE)</f>
        <v>C</v>
      </c>
    </row>
    <row r="7" spans="2:4" ht="12">
      <c r="B7" s="50">
        <v>4</v>
      </c>
      <c r="C7" s="61" t="str">
        <f>HLOOKUP('Date Drivers'!$B$1,'Date Drivers'!$A$2:$AA$209,8,FALSE)</f>
        <v>CT1-MP: 5 A secondary, rated current (M: 0-3×In, P: 0-32×In)</v>
      </c>
      <c r="D7" s="52" t="str">
        <f>HLOOKUP('Date Drivers'!$B$1,'Date Drivers'!$A$2:$AA$209,13,FALSE)</f>
        <v>D</v>
      </c>
    </row>
    <row r="8" spans="2:4" ht="12">
      <c r="B8" s="59">
        <v>5</v>
      </c>
      <c r="C8" s="62" t="str">
        <f>"  "&amp;HLOOKUP('Date Drivers'!$B$1,'Date Drivers'!$A$2:$AA$209,9,FALSE)</f>
        <v>  </v>
      </c>
      <c r="D8" s="66" t="str">
        <f>HLOOKUP('Date Drivers'!$B$1,'Date Drivers'!$A$2:$AA$209,14,FALSE)</f>
        <v>*</v>
      </c>
    </row>
    <row r="10" spans="1:4" ht="12">
      <c r="A10" s="58" t="str">
        <f>'Date Drivers'!$A$16</f>
        <v>Phase current transformer CT2:</v>
      </c>
      <c r="B10" s="70">
        <v>1</v>
      </c>
      <c r="C10" s="65" t="str">
        <f>VLOOKUP($B$10,$B$11:$D$15,2,FALSE)</f>
        <v>Without </v>
      </c>
      <c r="D10" s="65">
        <f>VLOOKUP($B$10,$B$11:$D$15,3,FALSE)</f>
        <v>0</v>
      </c>
    </row>
    <row r="11" spans="2:4" ht="12">
      <c r="B11" s="49">
        <v>1</v>
      </c>
      <c r="C11" s="60" t="str">
        <f>HLOOKUP('Date Drivers'!$B$1,'Date Drivers'!$A$2:$AA$209,15,FALSE)</f>
        <v>Without </v>
      </c>
      <c r="D11" s="51">
        <f>HLOOKUP('Date Drivers'!$B$1,'Date Drivers'!$A$2:$AA$209,17,FALSE)</f>
        <v>0</v>
      </c>
    </row>
    <row r="12" spans="2:4" ht="12">
      <c r="B12" s="50">
        <v>2</v>
      </c>
      <c r="C12" s="61"/>
      <c r="D12" s="52"/>
    </row>
    <row r="13" spans="2:4" ht="12">
      <c r="B13" s="50">
        <v>3</v>
      </c>
      <c r="C13" s="61"/>
      <c r="D13" s="52"/>
    </row>
    <row r="14" spans="2:4" ht="12">
      <c r="B14" s="50">
        <v>4</v>
      </c>
      <c r="C14" s="61"/>
      <c r="D14" s="52"/>
    </row>
    <row r="15" spans="2:4" ht="12">
      <c r="B15" s="59">
        <v>5</v>
      </c>
      <c r="C15" s="62" t="str">
        <f>"  "&amp;HLOOKUP('Date Drivers'!$B$1,'Date Drivers'!$A$2:$AA$209,9,FALSE)</f>
        <v>  </v>
      </c>
      <c r="D15" s="66"/>
    </row>
    <row r="17" spans="1:4" ht="12">
      <c r="A17" s="58" t="str">
        <f>'Date Drivers'!$A$20</f>
        <v>Phase current transformer CT3:</v>
      </c>
      <c r="B17" s="70">
        <v>1</v>
      </c>
      <c r="C17" s="65" t="str">
        <f>VLOOKUP($B$17,$B$18:$D$22,2,FALSE)</f>
        <v>Without </v>
      </c>
      <c r="D17" s="65" t="str">
        <f>VLOOKUP($B$17,$B$18:$D$22,3,FALSE)</f>
        <v>A</v>
      </c>
    </row>
    <row r="18" spans="2:4" ht="12">
      <c r="B18" s="49">
        <v>1</v>
      </c>
      <c r="C18" s="60" t="str">
        <f>HLOOKUP('Date Drivers'!$B$1,'Date Drivers'!$A$2:$AA$209,19,FALSE)</f>
        <v>Without </v>
      </c>
      <c r="D18" s="51" t="str">
        <f>HLOOKUP('Date Drivers'!$B$1,'Date Drivers'!$A$2:$AA$209,21,FALSE)</f>
        <v>A</v>
      </c>
    </row>
    <row r="19" spans="2:4" ht="12">
      <c r="B19" s="50">
        <v>2</v>
      </c>
      <c r="C19" s="61"/>
      <c r="D19" s="52"/>
    </row>
    <row r="20" spans="2:4" ht="12">
      <c r="B20" s="50">
        <v>3</v>
      </c>
      <c r="C20" s="61"/>
      <c r="D20" s="52"/>
    </row>
    <row r="21" spans="2:4" ht="12">
      <c r="B21" s="50">
        <v>4</v>
      </c>
      <c r="C21" s="61"/>
      <c r="D21" s="52"/>
    </row>
    <row r="22" spans="2:4" ht="12">
      <c r="B22" s="59">
        <v>5</v>
      </c>
      <c r="C22" s="62" t="str">
        <f>"  "&amp;HLOOKUP('Date Drivers'!$B$1,'Date Drivers'!$A$2:$AA$209,9,FALSE)</f>
        <v>  </v>
      </c>
      <c r="D22" s="66"/>
    </row>
    <row r="24" spans="1:4" ht="12">
      <c r="A24" s="58" t="str">
        <f>'Date Drivers'!$A$24</f>
        <v>Earth current transformer CT-GND1:</v>
      </c>
      <c r="B24" s="71">
        <v>1</v>
      </c>
      <c r="C24" s="67" t="str">
        <f>VLOOKUP($B$24,$B$25:$D$29,2,FALSE)</f>
        <v>CT-GND1: 1 A secondary, rated current</v>
      </c>
      <c r="D24" s="65">
        <f>VLOOKUP($B$24,$B$25:$D$29,3,FALSE)</f>
        <v>0</v>
      </c>
    </row>
    <row r="25" spans="2:4" ht="12">
      <c r="B25" s="55">
        <v>1</v>
      </c>
      <c r="C25" s="68" t="str">
        <f>HLOOKUP('Date Drivers'!$B$1,'Date Drivers'!$A$2:$AA$209,23,FALSE)</f>
        <v>CT-GND1: 1 A secondary, rated current</v>
      </c>
      <c r="D25" s="50">
        <f>HLOOKUP('Date Drivers'!$B$1,'Date Drivers'!$A$2:$AA$209,27,FALSE)</f>
        <v>0</v>
      </c>
    </row>
    <row r="26" spans="2:4" ht="12">
      <c r="B26" s="56">
        <v>2</v>
      </c>
      <c r="C26" s="69" t="str">
        <f>HLOOKUP('Date Drivers'!$B$1,'Date Drivers'!$A$2:$AA$209,24,FALSE)</f>
        <v>CT-GND1: 5 A secondary, rated current</v>
      </c>
      <c r="D26" s="50">
        <f>HLOOKUP('Date Drivers'!$B$1,'Date Drivers'!$A$2:$AA$209,28,FALSE)</f>
        <v>1</v>
      </c>
    </row>
    <row r="27" spans="2:4" ht="12">
      <c r="B27" s="56">
        <v>3</v>
      </c>
      <c r="C27" s="69" t="str">
        <f>HLOOKUP('Date Drivers'!$B$1,'Date Drivers'!$A$2:$AA$209,25,FALSE)</f>
        <v>CT-GND1: 2 - 3000mA, secondary rated current</v>
      </c>
      <c r="D27" s="50">
        <f>HLOOKUP('Date Drivers'!$B$1,'Date Drivers'!$A$2:$AA$209,29,FALSE)</f>
        <v>2</v>
      </c>
    </row>
    <row r="28" spans="2:4" ht="12">
      <c r="B28" s="56">
        <v>4</v>
      </c>
      <c r="C28" s="61" t="str">
        <f>"  "&amp;HLOOKUP('Date Drivers'!$B$1,'Date Drivers'!$A$2:$AA$209,26,FALSE)</f>
        <v>  </v>
      </c>
      <c r="D28" s="52"/>
    </row>
    <row r="29" spans="2:4" ht="12">
      <c r="B29" s="57">
        <v>5</v>
      </c>
      <c r="C29" s="62"/>
      <c r="D29" s="66"/>
    </row>
    <row r="31" spans="1:4" ht="12">
      <c r="A31" s="58" t="str">
        <f>'Date Drivers'!$A$32</f>
        <v>Earth current transformer CT-GND2:</v>
      </c>
      <c r="B31" s="71">
        <v>1</v>
      </c>
      <c r="C31" s="67" t="str">
        <f>VLOOKUP($B$31,$B$32:$D$36,2,FALSE)</f>
        <v>Without </v>
      </c>
      <c r="D31" s="65" t="str">
        <f>VLOOKUP($B$31,$B$32:$D$36,3,FALSE)</f>
        <v>A</v>
      </c>
    </row>
    <row r="32" spans="2:4" ht="12">
      <c r="B32" s="55">
        <v>1</v>
      </c>
      <c r="C32" s="68" t="str">
        <f>HLOOKUP('Date Drivers'!$B$1,'Date Drivers'!$A$2:$AA$209,31,FALSE)</f>
        <v>Without </v>
      </c>
      <c r="D32" s="50" t="str">
        <f>HLOOKUP('Date Drivers'!$B$1,'Date Drivers'!$A$2:$AA$209,33,FALSE)</f>
        <v>A</v>
      </c>
    </row>
    <row r="33" spans="2:4" ht="12">
      <c r="B33" s="56">
        <v>2</v>
      </c>
      <c r="C33" s="69"/>
      <c r="D33" s="50"/>
    </row>
    <row r="34" spans="2:4" ht="12">
      <c r="B34" s="56">
        <v>3</v>
      </c>
      <c r="C34" s="69"/>
      <c r="D34" s="50"/>
    </row>
    <row r="35" spans="2:4" ht="12">
      <c r="B35" s="56">
        <v>4</v>
      </c>
      <c r="C35" s="61" t="str">
        <f>"  "&amp;HLOOKUP('Date Drivers'!$B$1,'Date Drivers'!$A$2:$AA$209,26,FALSE)</f>
        <v>  </v>
      </c>
      <c r="D35" s="52"/>
    </row>
    <row r="36" spans="2:4" ht="12">
      <c r="B36" s="57">
        <v>5</v>
      </c>
      <c r="C36" s="62"/>
      <c r="D36" s="66"/>
    </row>
    <row r="38" spans="1:4" ht="12">
      <c r="A38" s="58" t="str">
        <f>'Date Drivers'!$A$36</f>
        <v>Power supply:</v>
      </c>
      <c r="B38" s="71">
        <v>1</v>
      </c>
      <c r="C38" s="67" t="str">
        <f>VLOOKUP($B$38,$B$39:$D$43,2,FALSE)</f>
        <v>24V DC</v>
      </c>
      <c r="D38" s="65">
        <f>VLOOKUP($B$38,$B$39:$D$43,3,FALSE)</f>
        <v>0</v>
      </c>
    </row>
    <row r="39" spans="2:4" ht="12">
      <c r="B39" s="55">
        <v>1</v>
      </c>
      <c r="C39" s="68" t="str">
        <f>HLOOKUP('Date Drivers'!$B$1,'Date Drivers'!$A$2:$AA$209,35,FALSE)</f>
        <v>24V DC</v>
      </c>
      <c r="D39" s="50">
        <f>HLOOKUP('Date Drivers'!$B$1,'Date Drivers'!$A$2:$AA$209,40,FALSE)</f>
        <v>0</v>
      </c>
    </row>
    <row r="40" spans="2:4" ht="12">
      <c r="B40" s="56">
        <v>2</v>
      </c>
      <c r="C40" s="69" t="str">
        <f>HLOOKUP('Date Drivers'!$B$1,'Date Drivers'!$A$2:$AA$209,36,FALSE)</f>
        <v>48VDC</v>
      </c>
      <c r="D40" s="50">
        <f>HLOOKUP('Date Drivers'!$B$1,'Date Drivers'!$A$2:$AA$209,41,FALSE)</f>
        <v>1</v>
      </c>
    </row>
    <row r="41" spans="2:4" ht="12">
      <c r="B41" s="56">
        <v>3</v>
      </c>
      <c r="C41" s="69" t="str">
        <f>HLOOKUP('Date Drivers'!$B$1,'Date Drivers'!$A$2:$AA$209,37,FALSE)</f>
        <v>60V DC</v>
      </c>
      <c r="D41" s="50">
        <f>HLOOKUP('Date Drivers'!$B$1,'Date Drivers'!$A$2:$AA$209,42,FALSE)</f>
        <v>2</v>
      </c>
    </row>
    <row r="42" spans="2:4" ht="12">
      <c r="B42" s="56">
        <v>4</v>
      </c>
      <c r="C42" s="69" t="str">
        <f>HLOOKUP('Date Drivers'!$B$1,'Date Drivers'!$A$2:$AA$209,38,FALSE)</f>
        <v>110-220V DC; 110-230V AC</v>
      </c>
      <c r="D42" s="50">
        <f>HLOOKUP('Date Drivers'!$B$1,'Date Drivers'!$A$2:$AA$209,43,FALSE)</f>
        <v>3</v>
      </c>
    </row>
    <row r="43" spans="2:4" ht="12">
      <c r="B43" s="57">
        <v>5</v>
      </c>
      <c r="C43" s="62"/>
      <c r="D43" s="66"/>
    </row>
    <row r="45" spans="1:4" ht="12">
      <c r="A45" s="58" t="str">
        <f>'Date Drivers'!$A$46</f>
        <v>Binary inputs:</v>
      </c>
      <c r="B45" s="71">
        <v>1</v>
      </c>
      <c r="C45" s="67" t="str">
        <f>VLOOKUP($B$45,$B$46:$D$50,2,FALSE)</f>
        <v>18 (Ur: 24/48/60/110/220V DC; 110V/230V AC: Parametrizable)</v>
      </c>
      <c r="D45" s="65" t="str">
        <f>VLOOKUP($B$45,$B$46:$D$50,3,FALSE)</f>
        <v>A</v>
      </c>
    </row>
    <row r="46" spans="2:4" ht="12">
      <c r="B46" s="55">
        <v>1</v>
      </c>
      <c r="C46" s="68" t="str">
        <f>HLOOKUP('Date Drivers'!$B$1,'Date Drivers'!$A$2:$AA$209,45,FALSE)</f>
        <v>18 (Ur: 24/48/60/110/220V DC; 110V/230V AC: Parametrizable)</v>
      </c>
      <c r="D46" s="50" t="str">
        <f>HLOOKUP('Date Drivers'!$B$1,'Date Drivers'!$A$2:$AA$209,47,FALSE)</f>
        <v>A</v>
      </c>
    </row>
    <row r="47" spans="2:4" ht="12">
      <c r="B47" s="56">
        <v>2</v>
      </c>
      <c r="C47" s="69"/>
      <c r="D47" s="50"/>
    </row>
    <row r="48" spans="2:4" ht="12">
      <c r="B48" s="56">
        <v>3</v>
      </c>
      <c r="C48" s="69"/>
      <c r="D48" s="50"/>
    </row>
    <row r="49" spans="2:4" ht="12">
      <c r="B49" s="56">
        <v>4</v>
      </c>
      <c r="C49" s="69"/>
      <c r="D49" s="50"/>
    </row>
    <row r="50" spans="2:4" ht="12">
      <c r="B50" s="57">
        <v>5</v>
      </c>
      <c r="C50" s="62"/>
      <c r="D50" s="66"/>
    </row>
    <row r="52" spans="1:4" ht="12">
      <c r="A52" s="58" t="str">
        <f>'Date Drivers'!$A$50</f>
        <v>Binary outputs:</v>
      </c>
      <c r="B52" s="71">
        <v>1</v>
      </c>
      <c r="C52" s="67" t="str">
        <f>VLOOKUP($B$52,$B$53:$D$57,2,FALSE)</f>
        <v>12 (potential-free contacts)</v>
      </c>
      <c r="D52" s="65">
        <f>VLOOKUP($B$52,$B$53:$D$57,3,FALSE)</f>
        <v>0</v>
      </c>
    </row>
    <row r="53" spans="2:4" ht="12">
      <c r="B53" s="55">
        <v>1</v>
      </c>
      <c r="C53" s="68" t="str">
        <f>HLOOKUP('Date Drivers'!$B$1,'Date Drivers'!$A$2:$AA$209,49,FALSE)</f>
        <v>12 (potential-free contacts)</v>
      </c>
      <c r="D53" s="50">
        <f>HLOOKUP('Date Drivers'!$B$1,'Date Drivers'!$A$2:$AA$209,51,FALSE)</f>
        <v>0</v>
      </c>
    </row>
    <row r="54" spans="2:4" ht="12">
      <c r="B54" s="56">
        <v>2</v>
      </c>
      <c r="C54" s="69"/>
      <c r="D54" s="50"/>
    </row>
    <row r="55" spans="2:4" ht="12">
      <c r="B55" s="56">
        <v>3</v>
      </c>
      <c r="C55" s="69"/>
      <c r="D55" s="50"/>
    </row>
    <row r="56" spans="2:4" ht="12">
      <c r="B56" s="56">
        <v>4</v>
      </c>
      <c r="C56" s="69"/>
      <c r="D56" s="50"/>
    </row>
    <row r="57" spans="2:4" ht="12">
      <c r="B57" s="57">
        <v>5</v>
      </c>
      <c r="C57" s="62"/>
      <c r="D57" s="66"/>
    </row>
    <row r="59" spans="1:4" ht="12">
      <c r="A59" s="58" t="str">
        <f>'Date Drivers'!$A$54</f>
        <v>Analog Inputs and Outputs:</v>
      </c>
      <c r="B59" s="71">
        <v>1</v>
      </c>
      <c r="C59" s="67" t="str">
        <f>VLOOKUP($B$59,$B$60:$D$64,2,FALSE)</f>
        <v>Without </v>
      </c>
      <c r="D59" s="65" t="str">
        <f>VLOOKUP($B$59,$B$60:$D$64,3,FALSE)</f>
        <v>A</v>
      </c>
    </row>
    <row r="60" spans="2:4" ht="12">
      <c r="B60" s="55">
        <v>1</v>
      </c>
      <c r="C60" s="68" t="str">
        <f>HLOOKUP('Date Drivers'!$B$1,'Date Drivers'!$A$2:$AA$209,53,FALSE)</f>
        <v>Without </v>
      </c>
      <c r="D60" s="50" t="str">
        <f>HLOOKUP('Date Drivers'!$B$1,'Date Drivers'!$A$2:$AA$209,55,FALSE)</f>
        <v>A</v>
      </c>
    </row>
    <row r="61" spans="2:4" ht="12">
      <c r="B61" s="56">
        <v>2</v>
      </c>
      <c r="C61" s="69"/>
      <c r="D61" s="50"/>
    </row>
    <row r="62" spans="2:4" ht="12">
      <c r="B62" s="56">
        <v>3</v>
      </c>
      <c r="C62" s="69"/>
      <c r="D62" s="50"/>
    </row>
    <row r="63" spans="2:4" ht="12">
      <c r="B63" s="56">
        <v>4</v>
      </c>
      <c r="C63" s="69"/>
      <c r="D63" s="50"/>
    </row>
    <row r="64" spans="2:4" ht="12">
      <c r="B64" s="57">
        <v>5</v>
      </c>
      <c r="C64" s="62"/>
      <c r="D64" s="66"/>
    </row>
    <row r="66" spans="1:4" ht="12">
      <c r="A66" s="58" t="str">
        <f>'Date Drivers'!$A$58</f>
        <v>Communication - SCADA Port-1:</v>
      </c>
      <c r="B66" s="71">
        <v>1</v>
      </c>
      <c r="C66" s="67" t="str">
        <f>VLOOKUP($B$66,$B$67:$D$71,2,FALSE)</f>
        <v>Modbus RTU; RS485; half-duplex</v>
      </c>
      <c r="D66" s="65">
        <f>VLOOKUP($B$66,$B$67:$D$71,3,FALSE)</f>
        <v>0</v>
      </c>
    </row>
    <row r="67" spans="2:4" ht="12">
      <c r="B67" s="55">
        <v>1</v>
      </c>
      <c r="C67" s="68" t="str">
        <f>HLOOKUP('Date Drivers'!$B$1,'Date Drivers'!$A$2:$AA$209,57,FALSE)</f>
        <v>Modbus RTU; RS485; half-duplex</v>
      </c>
      <c r="D67" s="50">
        <f>HLOOKUP('Date Drivers'!$B$1,'Date Drivers'!$A$2:$AA$209,59,FALSE)</f>
        <v>0</v>
      </c>
    </row>
    <row r="68" spans="2:4" ht="12">
      <c r="B68" s="56">
        <v>2</v>
      </c>
      <c r="C68" s="69"/>
      <c r="D68" s="50"/>
    </row>
    <row r="69" spans="2:4" ht="12">
      <c r="B69" s="56">
        <v>3</v>
      </c>
      <c r="C69" s="69"/>
      <c r="D69" s="50"/>
    </row>
    <row r="70" spans="2:4" ht="12">
      <c r="B70" s="56">
        <v>4</v>
      </c>
      <c r="C70" s="69"/>
      <c r="D70" s="50"/>
    </row>
    <row r="71" spans="2:4" ht="12">
      <c r="B71" s="57">
        <v>5</v>
      </c>
      <c r="C71" s="62"/>
      <c r="D71" s="66"/>
    </row>
    <row r="73" spans="1:4" ht="12">
      <c r="A73" s="58" t="str">
        <f>'Date Drivers'!$A$62</f>
        <v>Communication - SCADA Port-2:</v>
      </c>
      <c r="B73" s="70">
        <v>2</v>
      </c>
      <c r="C73" s="65" t="str">
        <f>VLOOKUP($B$73,$B$74:$D$80,2,FALSE)</f>
        <v>IEC 61850 (single), FO &amp; RJ45</v>
      </c>
      <c r="D73" s="65" t="str">
        <f>VLOOKUP($B$73,$B$74:$D$80,3,FALSE)</f>
        <v>B</v>
      </c>
    </row>
    <row r="74" spans="2:4" ht="12">
      <c r="B74" s="55">
        <v>1</v>
      </c>
      <c r="C74" s="60" t="str">
        <f>HLOOKUP('Date Drivers'!$B$1,'Date Drivers'!$A$2:$AA$209,61,FALSE)</f>
        <v>Without</v>
      </c>
      <c r="D74" s="51" t="str">
        <f>HLOOKUP('Date Drivers'!$B$1,'Date Drivers'!$A$2:$AA$209,68,FALSE)</f>
        <v>A</v>
      </c>
    </row>
    <row r="75" spans="2:4" ht="12">
      <c r="B75" s="56">
        <v>2</v>
      </c>
      <c r="C75" s="61" t="str">
        <f>HLOOKUP('Date Drivers'!$B$1,'Date Drivers'!$A$2:$AA$209,62,FALSE)</f>
        <v>IEC 61850 (single), FO &amp; RJ45</v>
      </c>
      <c r="D75" s="52" t="str">
        <f>HLOOKUP('Date Drivers'!$B$1,'Date Drivers'!$A$2:$AA$209,69,FALSE)</f>
        <v>B</v>
      </c>
    </row>
    <row r="76" spans="2:4" ht="12">
      <c r="B76" s="56">
        <v>3</v>
      </c>
      <c r="C76" s="61" t="str">
        <f>HLOOKUP('Date Drivers'!$B$1,'Date Drivers'!$A$2:$AA$209,63,FALSE)</f>
        <v>IEC 61850 (single), RJ45</v>
      </c>
      <c r="D76" s="52" t="str">
        <f>HLOOKUP('Date Drivers'!$B$1,'Date Drivers'!$A$2:$AA$209,70,FALSE)</f>
        <v>C</v>
      </c>
    </row>
    <row r="77" spans="2:4" ht="12">
      <c r="B77" s="50">
        <v>4</v>
      </c>
      <c r="C77" s="61" t="str">
        <f>HLOOKUP('Date Drivers'!$B$1,'Date Drivers'!$A$2:$AA$209,64,FALSE)</f>
        <v>IEC 61850 (single), FO</v>
      </c>
      <c r="D77" s="52" t="str">
        <f>HLOOKUP('Date Drivers'!$B$1,'Date Drivers'!$A$2:$AA$209,71,FALSE)</f>
        <v>D</v>
      </c>
    </row>
    <row r="78" spans="2:4" ht="12">
      <c r="B78" s="56">
        <v>5</v>
      </c>
      <c r="C78" s="61" t="str">
        <f>HLOOKUP('Date Drivers'!$B$1,'Date Drivers'!$A$2:$AA$209,65,FALSE)</f>
        <v>IEC 61850 (redundancy), RJ45</v>
      </c>
      <c r="D78" s="52" t="str">
        <f>HLOOKUP('Date Drivers'!$B$1,'Date Drivers'!$A$2:$AA$209,72,FALSE)</f>
        <v>E</v>
      </c>
    </row>
    <row r="79" spans="2:4" ht="12">
      <c r="B79" s="56">
        <v>6</v>
      </c>
      <c r="C79" s="61" t="str">
        <f>HLOOKUP('Date Drivers'!$B$1,'Date Drivers'!$A$2:$AA$209,66,FALSE)</f>
        <v>IEC 61850 (redundancy), FO</v>
      </c>
      <c r="D79" s="52" t="str">
        <f>HLOOKUP('Date Drivers'!$B$1,'Date Drivers'!$A$2:$AA$209,73,FALSE)</f>
        <v>F</v>
      </c>
    </row>
    <row r="80" spans="2:4" ht="12">
      <c r="B80" s="57">
        <v>7</v>
      </c>
      <c r="C80" s="62"/>
      <c r="D80" s="59"/>
    </row>
    <row r="82" spans="1:4" ht="12">
      <c r="A82" s="58" t="str">
        <f>'Date Drivers'!$A$76</f>
        <v>Communication - SCADA Port-3:</v>
      </c>
      <c r="B82" s="70">
        <v>1</v>
      </c>
      <c r="C82" s="65" t="str">
        <f>VLOOKUP($B$82,$B$83:$D$87,2)</f>
        <v>Without</v>
      </c>
      <c r="D82" s="65">
        <f>VLOOKUP($B$82,$B$83:$D$87,3)</f>
        <v>0</v>
      </c>
    </row>
    <row r="83" spans="2:4" ht="12">
      <c r="B83" s="55">
        <v>1</v>
      </c>
      <c r="C83" s="60" t="str">
        <f>HLOOKUP('Date Drivers'!$B$1,'Date Drivers'!$A$2:$AA$209,75,FALSE)</f>
        <v>Without</v>
      </c>
      <c r="D83" s="51">
        <f>HLOOKUP('Date Drivers'!$B$1,'Date Drivers'!$A$2:$AA$209,79,FALSE)</f>
        <v>0</v>
      </c>
    </row>
    <row r="84" spans="2:4" ht="12">
      <c r="B84" s="56">
        <v>2</v>
      </c>
      <c r="C84" s="61" t="str">
        <f>HLOOKUP('Date Drivers'!$B$1,'Date Drivers'!$A$2:$AA$209,76,FALSE)</f>
        <v>IEC 60870-5-103; RS485</v>
      </c>
      <c r="D84" s="52">
        <f>HLOOKUP('Date Drivers'!$B$1,'Date Drivers'!$A$2:$AA$209,80,FALSE)</f>
        <v>1</v>
      </c>
    </row>
    <row r="85" spans="2:4" ht="12">
      <c r="B85" s="56">
        <v>3</v>
      </c>
      <c r="C85" s="61" t="str">
        <f>HLOOKUP('Date Drivers'!$B$1,'Date Drivers'!$A$2:$AA$209,77,FALSE)</f>
        <v>IEC 60870-5-103; Fiber optic</v>
      </c>
      <c r="D85" s="52">
        <f>HLOOKUP('Date Drivers'!$B$1,'Date Drivers'!$A$2:$AA$209,81,FALSE)</f>
        <v>2</v>
      </c>
    </row>
    <row r="86" spans="2:4" ht="12">
      <c r="B86" s="56">
        <v>4</v>
      </c>
      <c r="C86" s="61"/>
      <c r="D86" s="52"/>
    </row>
    <row r="87" spans="2:4" ht="12">
      <c r="B87" s="59">
        <v>5</v>
      </c>
      <c r="C87" s="62"/>
      <c r="D87" s="59"/>
    </row>
    <row r="89" spans="1:4" ht="12">
      <c r="A89" s="58" t="str">
        <f>'Date Drivers'!$A$84</f>
        <v>Communication - Interfaces:</v>
      </c>
      <c r="B89" s="71">
        <v>1</v>
      </c>
      <c r="C89" s="67" t="str">
        <f>VLOOKUP($B$89,$B$90:$D$94,2,FALSE)</f>
        <v>1 x USB interface  (front plate; parameter setting)</v>
      </c>
      <c r="D89" s="65" t="str">
        <f>VLOOKUP($B$89,$B$90:$D$94,3,FALSE)</f>
        <v>A</v>
      </c>
    </row>
    <row r="90" spans="2:4" ht="12">
      <c r="B90" s="55">
        <v>1</v>
      </c>
      <c r="C90" s="68" t="str">
        <f>HLOOKUP('Date Drivers'!$B$1,'Date Drivers'!$A$2:$AA$209,83,FALSE)</f>
        <v>1 x USB interface  (front plate; parameter setting)</v>
      </c>
      <c r="D90" s="50" t="str">
        <f>HLOOKUP('Date Drivers'!$B$1,'Date Drivers'!$A$2:$AA$209,85,FALSE)</f>
        <v>A</v>
      </c>
    </row>
    <row r="91" spans="2:4" ht="12">
      <c r="B91" s="56">
        <v>2</v>
      </c>
      <c r="C91" s="69"/>
      <c r="D91" s="50"/>
    </row>
    <row r="92" spans="2:4" ht="12">
      <c r="B92" s="56">
        <v>3</v>
      </c>
      <c r="C92" s="69"/>
      <c r="D92" s="50"/>
    </row>
    <row r="93" spans="2:4" ht="12">
      <c r="B93" s="56">
        <v>4</v>
      </c>
      <c r="C93" s="69"/>
      <c r="D93" s="50"/>
    </row>
    <row r="94" spans="2:4" ht="12">
      <c r="B94" s="57">
        <v>5</v>
      </c>
      <c r="C94" s="62"/>
      <c r="D94" s="66"/>
    </row>
    <row r="96" spans="1:4" ht="12">
      <c r="A96" s="58" t="str">
        <f>'Date Drivers'!$A$88</f>
        <v>Connectors U/I-measuring:</v>
      </c>
      <c r="B96" s="71">
        <v>1</v>
      </c>
      <c r="C96" s="67" t="str">
        <f>VLOOKUP($B$96,$B$97:$D$101,2,FALSE)</f>
        <v>I-measuring connector without integrated short-circuiters</v>
      </c>
      <c r="D96" s="65" t="str">
        <f>VLOOKUP($B$96,$B$97:$D$101,3,FALSE)</f>
        <v>A</v>
      </c>
    </row>
    <row r="97" spans="2:4" ht="12">
      <c r="B97" s="55">
        <v>1</v>
      </c>
      <c r="C97" s="68" t="str">
        <f>HLOOKUP('Date Drivers'!$B$1,'Date Drivers'!$A$2:$AA$209,87,FALSE)</f>
        <v>I-measuring connector without integrated short-circuiters</v>
      </c>
      <c r="D97" s="50" t="str">
        <f>HLOOKUP('Date Drivers'!$B$1,'Date Drivers'!$A$2:$AA$209,89,FALSE)</f>
        <v>A</v>
      </c>
    </row>
    <row r="98" spans="2:4" ht="12">
      <c r="B98" s="56">
        <v>2</v>
      </c>
      <c r="C98" s="69"/>
      <c r="D98" s="50"/>
    </row>
    <row r="99" spans="2:4" ht="12">
      <c r="B99" s="56">
        <v>3</v>
      </c>
      <c r="C99" s="69"/>
      <c r="D99" s="50"/>
    </row>
    <row r="100" spans="2:4" ht="12">
      <c r="B100" s="56">
        <v>4</v>
      </c>
      <c r="C100" s="69"/>
      <c r="D100" s="50"/>
    </row>
    <row r="101" spans="2:4" ht="12">
      <c r="B101" s="57">
        <v>5</v>
      </c>
      <c r="C101" s="62"/>
      <c r="D101" s="66"/>
    </row>
    <row r="103" spans="1:4" ht="12">
      <c r="A103" s="58" t="str">
        <f>'Date Drivers'!$A$92</f>
        <v>Firmware version (FW):</v>
      </c>
      <c r="B103" s="71">
        <v>1</v>
      </c>
      <c r="C103" s="67" t="str">
        <f>VLOOKUP($B$103,$B$104:$D$108,2,FALSE)</f>
        <v>Latest version</v>
      </c>
      <c r="D103" s="65" t="str">
        <f>VLOOKUP($B$103,$B$104:$D$108,3,FALSE)</f>
        <v>A</v>
      </c>
    </row>
    <row r="104" spans="2:4" ht="12">
      <c r="B104" s="55">
        <v>1</v>
      </c>
      <c r="C104" s="68" t="str">
        <f>HLOOKUP('Date Drivers'!$B$1,'Date Drivers'!$A$2:$AA$209,91,FALSE)</f>
        <v>Latest version</v>
      </c>
      <c r="D104" s="50" t="str">
        <f>HLOOKUP('Date Drivers'!$B$1,'Date Drivers'!$A$2:$AA$209,100,FALSE)</f>
        <v>A</v>
      </c>
    </row>
    <row r="105" spans="2:4" ht="12">
      <c r="B105" s="56">
        <v>2</v>
      </c>
      <c r="C105" s="69"/>
      <c r="D105" s="50"/>
    </row>
    <row r="106" spans="2:4" ht="12">
      <c r="B106" s="56">
        <v>3</v>
      </c>
      <c r="C106" s="69"/>
      <c r="D106" s="50"/>
    </row>
    <row r="107" spans="2:4" ht="12">
      <c r="B107" s="56">
        <v>4</v>
      </c>
      <c r="C107" s="69"/>
      <c r="D107" s="50"/>
    </row>
    <row r="108" spans="2:4" ht="12">
      <c r="B108" s="57">
        <v>5</v>
      </c>
      <c r="C108" s="62"/>
      <c r="D108" s="66"/>
    </row>
    <row r="110" spans="1:4" ht="12">
      <c r="A110" s="58" t="str">
        <f>'Date Drivers'!$A$110</f>
        <v>Hardware version (HW):</v>
      </c>
      <c r="B110" s="71">
        <v>1</v>
      </c>
      <c r="C110" s="67" t="str">
        <f>VLOOKUP($B$110,$B$111:$D$115,2,FALSE)</f>
        <v>Latest version: v1-2.x</v>
      </c>
      <c r="D110" s="65">
        <f>VLOOKUP($B$110,$B$111:$D$115,3,FALSE)</f>
        <v>0</v>
      </c>
    </row>
    <row r="111" spans="2:4" ht="12">
      <c r="B111" s="55">
        <v>1</v>
      </c>
      <c r="C111" s="68" t="str">
        <f>HLOOKUP('Date Drivers'!$B$1,'Date Drivers'!$A$2:$AA$209,109,FALSE)</f>
        <v>Latest version: v1-2.x</v>
      </c>
      <c r="D111" s="50">
        <f>HLOOKUP('Date Drivers'!$B$1,'Date Drivers'!$A$2:$AA$209,118,FALSE)</f>
        <v>0</v>
      </c>
    </row>
    <row r="112" spans="2:4" ht="12">
      <c r="B112" s="56">
        <v>2</v>
      </c>
      <c r="C112" s="69"/>
      <c r="D112" s="50"/>
    </row>
    <row r="113" spans="2:4" ht="12">
      <c r="B113" s="56">
        <v>3</v>
      </c>
      <c r="C113" s="69"/>
      <c r="D113" s="50"/>
    </row>
    <row r="114" spans="2:4" ht="12">
      <c r="B114" s="56">
        <v>4</v>
      </c>
      <c r="C114" s="69"/>
      <c r="D114" s="50"/>
    </row>
    <row r="115" spans="2:4" ht="12">
      <c r="B115" s="57">
        <v>5</v>
      </c>
      <c r="C115" s="62"/>
      <c r="D115" s="66"/>
    </row>
    <row r="117" spans="1:4" ht="12">
      <c r="A117" s="58" t="str">
        <f>'Date Drivers'!$A$129</f>
        <v>Menu language:</v>
      </c>
      <c r="B117" s="71">
        <v>1</v>
      </c>
      <c r="C117" s="67" t="str">
        <f>VLOOKUP($B$117,$B$118:$D$122,2,FALSE)</f>
        <v>English, German, Polish</v>
      </c>
      <c r="D117" s="65" t="str">
        <f>VLOOKUP($B$117,$B$118:$D$122,3,FALSE)</f>
        <v>A</v>
      </c>
    </row>
    <row r="118" spans="2:4" ht="12">
      <c r="B118" s="55">
        <v>1</v>
      </c>
      <c r="C118" s="68" t="str">
        <f>HLOOKUP('Date Drivers'!$B$1,'Date Drivers'!$A$2:$AA$209,128,FALSE)</f>
        <v>English, German, Polish</v>
      </c>
      <c r="D118" s="50" t="str">
        <f>HLOOKUP('Date Drivers'!$B$1,'Date Drivers'!$A$2:$AA$209,134,FALSE)</f>
        <v>A</v>
      </c>
    </row>
    <row r="119" spans="2:4" ht="12">
      <c r="B119" s="56">
        <v>2</v>
      </c>
      <c r="C119" s="69"/>
      <c r="D119" s="50"/>
    </row>
    <row r="120" spans="2:4" ht="12">
      <c r="B120" s="56">
        <v>3</v>
      </c>
      <c r="C120" s="69"/>
      <c r="D120" s="50"/>
    </row>
    <row r="121" spans="2:4" ht="12">
      <c r="B121" s="56">
        <v>4</v>
      </c>
      <c r="C121" s="69"/>
      <c r="D121" s="50"/>
    </row>
    <row r="122" spans="2:4" ht="12">
      <c r="B122" s="57">
        <v>5</v>
      </c>
      <c r="C122" s="62"/>
      <c r="D122" s="66"/>
    </row>
    <row r="125" spans="1:3" ht="12.75">
      <c r="A125" s="36" t="s">
        <v>96</v>
      </c>
      <c r="B125" s="115">
        <v>0</v>
      </c>
      <c r="C125" s="116">
        <v>18</v>
      </c>
    </row>
    <row r="126" spans="2:3" ht="12.75">
      <c r="B126" s="115" t="s">
        <v>9</v>
      </c>
      <c r="C126" s="116">
        <v>19</v>
      </c>
    </row>
    <row r="127" spans="2:3" ht="12.75">
      <c r="B127" s="115">
        <v>0</v>
      </c>
      <c r="C127" s="116">
        <v>20</v>
      </c>
    </row>
    <row r="128" spans="2:3" ht="12.75">
      <c r="B128" s="115" t="s">
        <v>9</v>
      </c>
      <c r="C128" s="116">
        <v>21</v>
      </c>
    </row>
    <row r="129" spans="2:3" ht="12.75">
      <c r="B129" s="115">
        <v>0</v>
      </c>
      <c r="C129" s="116">
        <v>22</v>
      </c>
    </row>
    <row r="130" spans="2:3" ht="12.75">
      <c r="B130" s="115" t="s">
        <v>9</v>
      </c>
      <c r="C130" s="116">
        <v>23</v>
      </c>
    </row>
    <row r="131" spans="2:3" ht="12.75">
      <c r="B131" s="115">
        <v>0</v>
      </c>
      <c r="C131" s="116">
        <v>24</v>
      </c>
    </row>
    <row r="132" ht="12">
      <c r="C132" s="116"/>
    </row>
    <row r="133" spans="2:3" ht="12.75">
      <c r="B133" s="115">
        <v>0</v>
      </c>
      <c r="C133" s="116">
        <v>26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60"/>
  <sheetViews>
    <sheetView showGridLines="0" showRowColHeaders="0" zoomScalePageLayoutView="0" workbookViewId="0" topLeftCell="A1">
      <pane ySplit="2" topLeftCell="A3" activePane="bottomLeft" state="frozen"/>
      <selection pane="topLeft" activeCell="A1" sqref="A1"/>
      <selection pane="bottomLeft" activeCell="B73" sqref="B73"/>
    </sheetView>
  </sheetViews>
  <sheetFormatPr defaultColWidth="9.140625" defaultRowHeight="15"/>
  <cols>
    <col min="1" max="1" width="8.57421875" style="35" customWidth="1"/>
    <col min="2" max="7" width="9.140625" style="35" customWidth="1"/>
    <col min="8" max="8" width="11.7109375" style="35" customWidth="1"/>
    <col min="9" max="9" width="12.421875" style="35" customWidth="1"/>
    <col min="10" max="16384" width="9.140625" style="35" customWidth="1"/>
  </cols>
  <sheetData>
    <row r="1" ht="14.25">
      <c r="A1" s="176" t="s">
        <v>119</v>
      </c>
    </row>
    <row r="2" spans="1:9" ht="15.75">
      <c r="A2" s="122" t="str">
        <f>Database!$C$2</f>
        <v>P162A0A0A0A0A0B0A0A0A0A0A0A0A</v>
      </c>
      <c r="B2" s="123"/>
      <c r="C2" s="123"/>
      <c r="D2" s="123"/>
      <c r="E2" s="104"/>
      <c r="F2" s="104"/>
      <c r="G2" s="104"/>
      <c r="H2" s="104"/>
      <c r="I2" s="130"/>
    </row>
    <row r="3" spans="1:9" ht="15">
      <c r="A3" s="117" t="str">
        <f>'Date Drivers'!$B$143</f>
        <v>Non-directional overcurrent &amp; directional Earth fault </v>
      </c>
      <c r="B3" s="118"/>
      <c r="C3" s="118"/>
      <c r="D3" s="118"/>
      <c r="E3" s="118"/>
      <c r="F3" s="118"/>
      <c r="G3" s="118"/>
      <c r="H3" s="118"/>
      <c r="I3" s="131"/>
    </row>
    <row r="4" spans="1:9" ht="15">
      <c r="A4" s="117" t="str">
        <f>'Date Drivers'!$B$144</f>
        <v>Protection and control system</v>
      </c>
      <c r="B4" s="118"/>
      <c r="C4" s="118"/>
      <c r="D4" s="118"/>
      <c r="E4" s="118"/>
      <c r="F4" s="118"/>
      <c r="G4" s="118"/>
      <c r="H4" s="118"/>
      <c r="I4" s="131"/>
    </row>
    <row r="5" spans="1:9" ht="15">
      <c r="A5" s="117" t="str">
        <f>'Date Drivers'!$B$145</f>
        <v>DEVICE PERFORMANCE</v>
      </c>
      <c r="B5" s="118"/>
      <c r="C5" s="118"/>
      <c r="D5" s="118"/>
      <c r="E5" s="118"/>
      <c r="F5" s="118"/>
      <c r="G5" s="118"/>
      <c r="H5" s="118"/>
      <c r="I5" s="131"/>
    </row>
    <row r="6" spans="1:9" ht="15">
      <c r="A6" s="117" t="str">
        <f>'Date Drivers'!$B$146</f>
        <v>Dimensions:</v>
      </c>
      <c r="B6" s="118"/>
      <c r="C6" s="118"/>
      <c r="D6" s="118"/>
      <c r="E6" s="118"/>
      <c r="F6" s="118"/>
      <c r="G6" s="118"/>
      <c r="H6" s="118"/>
      <c r="I6" s="131"/>
    </row>
    <row r="7" spans="1:9" ht="14.25">
      <c r="A7" s="119" t="str">
        <f>"  "&amp;HLOOKUP('Date Drivers'!$B$1,'Date Drivers'!$A$2:$AA$209,146,FALSE)</f>
        <v>  Housing dimensions (WxHxD): (210x250x95)mm</v>
      </c>
      <c r="B7" s="118"/>
      <c r="C7" s="118"/>
      <c r="D7" s="118"/>
      <c r="E7" s="118"/>
      <c r="F7" s="118"/>
      <c r="G7" s="118"/>
      <c r="H7" s="118"/>
      <c r="I7" s="131"/>
    </row>
    <row r="8" spans="1:9" ht="14.25">
      <c r="A8" s="119" t="str">
        <f>"  "&amp;HLOOKUP('Date Drivers'!$B$1,'Date Drivers'!$A$2:$AA$209,147,FALSE)</f>
        <v>  Dimensions front plate (WxHxD): (210x250x4)mm</v>
      </c>
      <c r="B8" s="118"/>
      <c r="C8" s="118"/>
      <c r="D8" s="118"/>
      <c r="E8" s="118"/>
      <c r="F8" s="118"/>
      <c r="G8" s="118"/>
      <c r="H8" s="118"/>
      <c r="I8" s="131"/>
    </row>
    <row r="9" spans="1:9" ht="14.25">
      <c r="A9" s="119" t="str">
        <f>"  "&amp;HLOOKUP('Date Drivers'!$B$1,'Date Drivers'!$A$2:$AA$209,148,FALSE)</f>
        <v>  Cutout (WxH): (192x232)mm</v>
      </c>
      <c r="B9" s="118"/>
      <c r="C9" s="118"/>
      <c r="D9" s="118"/>
      <c r="E9" s="118"/>
      <c r="F9" s="118"/>
      <c r="G9" s="118"/>
      <c r="H9" s="118"/>
      <c r="I9" s="131"/>
    </row>
    <row r="10" spans="1:9" ht="15">
      <c r="A10" s="117" t="str">
        <f>'Date Drivers'!$B$150</f>
        <v>LED indication:</v>
      </c>
      <c r="B10" s="118"/>
      <c r="C10" s="118"/>
      <c r="D10" s="118"/>
      <c r="E10" s="118"/>
      <c r="F10" s="118"/>
      <c r="G10" s="118"/>
      <c r="H10" s="118"/>
      <c r="I10" s="131"/>
    </row>
    <row r="11" spans="1:9" ht="14.25">
      <c r="A11" s="119" t="str">
        <f>"  "&amp;HLOOKUP('Date Drivers'!$B$1,'Date Drivers'!$A$2:$AA$209,150,FALSE)</f>
        <v>  3 status-LEDs (Trip: red/Alarm: red-flashing/System: red/green)</v>
      </c>
      <c r="B11" s="118"/>
      <c r="C11" s="118"/>
      <c r="D11" s="118"/>
      <c r="E11" s="118"/>
      <c r="F11" s="118"/>
      <c r="G11" s="118"/>
      <c r="H11" s="118"/>
      <c r="I11" s="131"/>
    </row>
    <row r="12" spans="1:9" ht="14.25">
      <c r="A12" s="119" t="str">
        <f>"  "&amp;HLOOKUP('Date Drivers'!$B$1,'Date Drivers'!$A$2:$AA$209,151,FALSE)</f>
        <v>  8 LED indications (parametrizable, red/green)</v>
      </c>
      <c r="B12" s="118"/>
      <c r="C12" s="118"/>
      <c r="D12" s="118"/>
      <c r="E12" s="118"/>
      <c r="F12" s="118"/>
      <c r="G12" s="118"/>
      <c r="H12" s="118"/>
      <c r="I12" s="131"/>
    </row>
    <row r="13" spans="1:9" ht="15">
      <c r="A13" s="117" t="str">
        <f>'Date Drivers'!$B$153</f>
        <v>Membrane keyboard:</v>
      </c>
      <c r="B13" s="118"/>
      <c r="C13" s="118"/>
      <c r="D13" s="118"/>
      <c r="E13" s="118"/>
      <c r="F13" s="118"/>
      <c r="G13" s="118"/>
      <c r="H13" s="118"/>
      <c r="I13" s="131"/>
    </row>
    <row r="14" spans="1:9" ht="14.25">
      <c r="A14" s="119" t="str">
        <f>"  "&amp;HLOOKUP('Date Drivers'!$B$1,'Date Drivers'!$A$2:$AA$209,153,FALSE)</f>
        <v>  6 x memebrane keys (menu navigation/parameter setting/Reset/ON/OFF)</v>
      </c>
      <c r="B14" s="118"/>
      <c r="C14" s="118"/>
      <c r="D14" s="118"/>
      <c r="E14" s="118"/>
      <c r="F14" s="118"/>
      <c r="G14" s="118"/>
      <c r="H14" s="118"/>
      <c r="I14" s="131"/>
    </row>
    <row r="15" spans="1:9" ht="15">
      <c r="A15" s="117" t="str">
        <f>'Date Drivers'!$B$155</f>
        <v>Display:</v>
      </c>
      <c r="B15" s="118"/>
      <c r="C15" s="118"/>
      <c r="D15" s="118"/>
      <c r="E15" s="118"/>
      <c r="F15" s="118"/>
      <c r="G15" s="118"/>
      <c r="H15" s="118"/>
      <c r="I15" s="131"/>
    </row>
    <row r="16" spans="1:9" ht="14.25">
      <c r="A16" s="119" t="str">
        <f>"  "&amp;HLOOKUP('Date Drivers'!$B$1,'Date Drivers'!$A$2:$AA$209,155,FALSE)</f>
        <v>  Graphical LC-Display/Touchscreen (320x240 pixel)</v>
      </c>
      <c r="B16" s="118"/>
      <c r="C16" s="118"/>
      <c r="D16" s="118"/>
      <c r="E16" s="118"/>
      <c r="F16" s="118"/>
      <c r="G16" s="118"/>
      <c r="H16" s="118"/>
      <c r="I16" s="131"/>
    </row>
    <row r="17" spans="1:9" ht="15">
      <c r="A17" s="117" t="str">
        <f>'Date Drivers'!$B$157</f>
        <v>Current measurement: </v>
      </c>
      <c r="B17" s="118"/>
      <c r="C17" s="118"/>
      <c r="D17" s="118"/>
      <c r="E17" s="118"/>
      <c r="F17" s="118"/>
      <c r="G17" s="118"/>
      <c r="H17" s="118"/>
      <c r="I17" s="131"/>
    </row>
    <row r="18" spans="1:9" ht="14.25">
      <c r="A18" s="119" t="str">
        <f>"  "&amp;Database!$C$3</f>
        <v>  CT1: 1 A secondary, rated current</v>
      </c>
      <c r="B18" s="118"/>
      <c r="C18" s="118"/>
      <c r="D18" s="118"/>
      <c r="E18" s="118"/>
      <c r="F18" s="118"/>
      <c r="G18" s="118"/>
      <c r="H18" s="118"/>
      <c r="I18" s="131"/>
    </row>
    <row r="19" spans="1:9" ht="14.25">
      <c r="A19" s="119" t="str">
        <f>"  "&amp;Database!$C$24</f>
        <v>  CT-GND1: 1 A secondary, rated current</v>
      </c>
      <c r="B19" s="118"/>
      <c r="C19" s="118"/>
      <c r="D19" s="118"/>
      <c r="E19" s="118"/>
      <c r="F19" s="118"/>
      <c r="G19" s="118"/>
      <c r="H19" s="118"/>
      <c r="I19" s="131"/>
    </row>
    <row r="20" spans="1:9" ht="15">
      <c r="A20" s="117" t="str">
        <f>'Date Drivers'!$B$160</f>
        <v>Voltage measurement: </v>
      </c>
      <c r="B20" s="118"/>
      <c r="C20" s="118"/>
      <c r="D20" s="118"/>
      <c r="E20" s="118"/>
      <c r="F20" s="118"/>
      <c r="G20" s="118"/>
      <c r="H20" s="118"/>
      <c r="I20" s="131"/>
    </row>
    <row r="21" spans="1:9" ht="14.25">
      <c r="A21" s="119" t="str">
        <f>"  "&amp;'Date Drivers'!$B$161</f>
        <v>   1 x PT-GND1 (1-phase:meas. ranges: 50 to 200V AC and 200 to 700V AC; parametrizable)</v>
      </c>
      <c r="B21" s="118"/>
      <c r="C21" s="118"/>
      <c r="D21" s="118"/>
      <c r="E21" s="118"/>
      <c r="F21" s="118"/>
      <c r="G21" s="118"/>
      <c r="H21" s="118"/>
      <c r="I21" s="131"/>
    </row>
    <row r="22" spans="1:9" ht="15">
      <c r="A22" s="117" t="str">
        <f>'Date Drivers'!B162</f>
        <v>Binary inputs:</v>
      </c>
      <c r="B22" s="118"/>
      <c r="C22" s="118"/>
      <c r="D22" s="118"/>
      <c r="E22" s="118"/>
      <c r="F22" s="118"/>
      <c r="G22" s="118"/>
      <c r="H22" s="118"/>
      <c r="I22" s="131"/>
    </row>
    <row r="23" spans="1:9" ht="14.25">
      <c r="A23" s="119" t="str">
        <f>"  "&amp;Database!$C$45</f>
        <v>  18 (Ur: 24/48/60/110/220V DC; 110V/230V AC: Parametrizable)</v>
      </c>
      <c r="B23" s="118"/>
      <c r="C23" s="118"/>
      <c r="D23" s="118"/>
      <c r="E23" s="118"/>
      <c r="F23" s="118"/>
      <c r="G23" s="118"/>
      <c r="H23" s="118"/>
      <c r="I23" s="131"/>
    </row>
    <row r="24" spans="1:9" ht="15">
      <c r="A24" s="117" t="str">
        <f>'Date Drivers'!$B$164</f>
        <v>Binary outputs:</v>
      </c>
      <c r="B24" s="118"/>
      <c r="C24" s="118"/>
      <c r="D24" s="118"/>
      <c r="E24" s="118"/>
      <c r="F24" s="118"/>
      <c r="G24" s="118"/>
      <c r="H24" s="118"/>
      <c r="I24" s="131"/>
    </row>
    <row r="25" spans="1:9" ht="14.25">
      <c r="A25" s="119" t="str">
        <f>"  "&amp;Database!$C$52</f>
        <v>  12 (potential-free contacts)</v>
      </c>
      <c r="B25" s="118"/>
      <c r="C25" s="118"/>
      <c r="D25" s="118"/>
      <c r="E25" s="118"/>
      <c r="F25" s="118"/>
      <c r="G25" s="118"/>
      <c r="H25" s="118"/>
      <c r="I25" s="131"/>
    </row>
    <row r="26" spans="1:9" ht="15">
      <c r="A26" s="117" t="str">
        <f>'Date Drivers'!$B$166</f>
        <v>Communication interfaces:  </v>
      </c>
      <c r="B26" s="118"/>
      <c r="C26" s="118"/>
      <c r="D26" s="118"/>
      <c r="E26" s="118"/>
      <c r="F26" s="118"/>
      <c r="G26" s="118"/>
      <c r="H26" s="118"/>
      <c r="I26" s="131"/>
    </row>
    <row r="27" spans="1:9" ht="14.25">
      <c r="A27" s="119" t="str">
        <f>"  "&amp;Database!$C$89</f>
        <v>  1 x USB interface  (front plate; parameter setting)</v>
      </c>
      <c r="B27" s="118"/>
      <c r="C27" s="118"/>
      <c r="D27" s="118"/>
      <c r="E27" s="118"/>
      <c r="F27" s="118"/>
      <c r="G27" s="118"/>
      <c r="H27" s="118"/>
      <c r="I27" s="131"/>
    </row>
    <row r="28" spans="1:9" ht="15">
      <c r="A28" s="117" t="str">
        <f>'Date Drivers'!$B$168</f>
        <v>Control and interlocking:</v>
      </c>
      <c r="B28" s="118"/>
      <c r="C28" s="118"/>
      <c r="D28" s="118"/>
      <c r="E28" s="118"/>
      <c r="F28" s="118"/>
      <c r="G28" s="118"/>
      <c r="H28" s="118"/>
      <c r="I28" s="131"/>
    </row>
    <row r="29" spans="1:9" ht="14.25">
      <c r="A29" s="119" t="str">
        <f>"  "&amp;'Date Drivers'!$B$169</f>
        <v>  Indirect Control: 5 switching devices;</v>
      </c>
      <c r="B29" s="118"/>
      <c r="C29" s="118"/>
      <c r="D29" s="118"/>
      <c r="E29" s="118"/>
      <c r="F29" s="118"/>
      <c r="G29" s="118"/>
      <c r="H29" s="118"/>
      <c r="I29" s="131"/>
    </row>
    <row r="30" spans="1:9" ht="14.25">
      <c r="A30" s="119" t="str">
        <f>"  "&amp;'Date Drivers'!$B$170</f>
        <v>  Field interlocking: 8 switching devices</v>
      </c>
      <c r="B30" s="118"/>
      <c r="C30" s="118"/>
      <c r="D30" s="118"/>
      <c r="E30" s="118"/>
      <c r="F30" s="118"/>
      <c r="G30" s="118"/>
      <c r="H30" s="118"/>
      <c r="I30" s="131"/>
    </row>
    <row r="31" spans="1:9" ht="15">
      <c r="A31" s="117" t="str">
        <f>'Date Drivers'!$B$171</f>
        <v>Protective functions:</v>
      </c>
      <c r="B31" s="118"/>
      <c r="C31" s="118"/>
      <c r="D31" s="118"/>
      <c r="E31" s="118"/>
      <c r="F31" s="118"/>
      <c r="G31" s="118"/>
      <c r="H31" s="118"/>
      <c r="I31" s="131"/>
    </row>
    <row r="32" spans="1:9" ht="14.25">
      <c r="A32" s="119" t="str">
        <f>"  "&amp;'Date Drivers'!$B$172</f>
        <v>  Non-directional overcurrent &amp; directional Earth fault </v>
      </c>
      <c r="B32" s="118"/>
      <c r="C32" s="118"/>
      <c r="D32" s="118"/>
      <c r="E32" s="118"/>
      <c r="F32" s="118"/>
      <c r="G32" s="118"/>
      <c r="H32" s="118"/>
      <c r="I32" s="131"/>
    </row>
    <row r="33" spans="1:9" ht="15">
      <c r="A33" s="117" t="str">
        <f>'Date Drivers'!$B$173</f>
        <v>Power supply - device:</v>
      </c>
      <c r="B33" s="118"/>
      <c r="C33" s="118"/>
      <c r="D33" s="118"/>
      <c r="E33" s="118"/>
      <c r="F33" s="118"/>
      <c r="G33" s="118"/>
      <c r="H33" s="118"/>
      <c r="I33" s="131"/>
    </row>
    <row r="34" spans="1:9" ht="14.25">
      <c r="A34" s="119" t="str">
        <f>"  "&amp;Database!$C$38</f>
        <v>  24V DC</v>
      </c>
      <c r="B34" s="118"/>
      <c r="C34" s="118"/>
      <c r="D34" s="118"/>
      <c r="E34" s="118"/>
      <c r="F34" s="118"/>
      <c r="G34" s="118"/>
      <c r="H34" s="118"/>
      <c r="I34" s="131"/>
    </row>
    <row r="35" spans="1:9" ht="15">
      <c r="A35" s="117" t="str">
        <f>'Date Drivers'!$B$175</f>
        <v>Analog Inputs and Outputs:</v>
      </c>
      <c r="B35" s="118"/>
      <c r="C35" s="118"/>
      <c r="D35" s="118"/>
      <c r="E35" s="118"/>
      <c r="F35" s="118"/>
      <c r="G35" s="118"/>
      <c r="H35" s="118"/>
      <c r="I35" s="131"/>
    </row>
    <row r="36" spans="1:9" ht="14.25">
      <c r="A36" s="119" t="str">
        <f>"  "&amp;Database!$C$59</f>
        <v>  Without </v>
      </c>
      <c r="B36" s="118"/>
      <c r="C36" s="118"/>
      <c r="D36" s="118"/>
      <c r="E36" s="118"/>
      <c r="F36" s="118"/>
      <c r="G36" s="118"/>
      <c r="H36" s="118"/>
      <c r="I36" s="131"/>
    </row>
    <row r="37" spans="1:9" ht="15">
      <c r="A37" s="117" t="str">
        <f>'Date Drivers'!$B$177</f>
        <v>Communication - SCADA Port-1:</v>
      </c>
      <c r="B37" s="118"/>
      <c r="C37" s="118"/>
      <c r="D37" s="118"/>
      <c r="E37" s="118"/>
      <c r="F37" s="118"/>
      <c r="G37" s="118"/>
      <c r="H37" s="118"/>
      <c r="I37" s="131"/>
    </row>
    <row r="38" spans="1:9" ht="14.25">
      <c r="A38" s="119" t="str">
        <f>"  "&amp;Database!$C$66</f>
        <v>  Modbus RTU; RS485; half-duplex</v>
      </c>
      <c r="B38" s="118"/>
      <c r="C38" s="118"/>
      <c r="D38" s="118"/>
      <c r="E38" s="118"/>
      <c r="F38" s="118"/>
      <c r="G38" s="118"/>
      <c r="H38" s="118"/>
      <c r="I38" s="131"/>
    </row>
    <row r="39" spans="1:9" ht="15">
      <c r="A39" s="117" t="str">
        <f>'Date Drivers'!$B$179</f>
        <v>Communication - SCADA Port-2:</v>
      </c>
      <c r="B39" s="118"/>
      <c r="C39" s="118"/>
      <c r="D39" s="118"/>
      <c r="E39" s="118"/>
      <c r="F39" s="118"/>
      <c r="G39" s="118"/>
      <c r="H39" s="118"/>
      <c r="I39" s="131"/>
    </row>
    <row r="40" spans="1:9" ht="14.25">
      <c r="A40" s="119" t="str">
        <f>"  "&amp;Database!$C$73</f>
        <v>  IEC 61850 (single), FO &amp; RJ45</v>
      </c>
      <c r="B40" s="118"/>
      <c r="C40" s="118"/>
      <c r="D40" s="118"/>
      <c r="E40" s="118"/>
      <c r="F40" s="118"/>
      <c r="G40" s="118"/>
      <c r="H40" s="118"/>
      <c r="I40" s="131"/>
    </row>
    <row r="41" spans="1:9" ht="15">
      <c r="A41" s="117" t="str">
        <f>'Date Drivers'!$B$181</f>
        <v>Communication - SCADA Port-3:</v>
      </c>
      <c r="B41" s="118"/>
      <c r="C41" s="118"/>
      <c r="D41" s="118"/>
      <c r="E41" s="118"/>
      <c r="F41" s="118"/>
      <c r="G41" s="118"/>
      <c r="H41" s="118"/>
      <c r="I41" s="131"/>
    </row>
    <row r="42" spans="1:9" ht="14.25">
      <c r="A42" s="119" t="str">
        <f>"  "&amp;Database!$C$82</f>
        <v>  Without</v>
      </c>
      <c r="B42" s="118"/>
      <c r="C42" s="118"/>
      <c r="D42" s="118"/>
      <c r="E42" s="118"/>
      <c r="F42" s="118"/>
      <c r="G42" s="118"/>
      <c r="H42" s="118"/>
      <c r="I42" s="131"/>
    </row>
    <row r="43" spans="1:9" ht="15">
      <c r="A43" s="117" t="str">
        <f>'Date Drivers'!$B$183</f>
        <v>Connectors U/I-measuring:</v>
      </c>
      <c r="B43" s="118"/>
      <c r="C43" s="118"/>
      <c r="D43" s="118"/>
      <c r="E43" s="118"/>
      <c r="F43" s="118"/>
      <c r="G43" s="118"/>
      <c r="H43" s="118"/>
      <c r="I43" s="131"/>
    </row>
    <row r="44" spans="1:9" ht="14.25">
      <c r="A44" s="119" t="str">
        <f>"  "&amp;Database!$C$96</f>
        <v>  I-measuring connector without integrated short-circuiters</v>
      </c>
      <c r="B44" s="118"/>
      <c r="C44" s="118"/>
      <c r="D44" s="118"/>
      <c r="E44" s="118"/>
      <c r="F44" s="118"/>
      <c r="G44" s="118"/>
      <c r="H44" s="118"/>
      <c r="I44" s="131"/>
    </row>
    <row r="45" spans="1:9" ht="15">
      <c r="A45" s="117" t="str">
        <f>'Date Drivers'!$B$185</f>
        <v>Firmware version (FW):</v>
      </c>
      <c r="B45" s="118"/>
      <c r="C45" s="118"/>
      <c r="D45" s="118"/>
      <c r="E45" s="118"/>
      <c r="F45" s="118"/>
      <c r="G45" s="118"/>
      <c r="H45" s="118"/>
      <c r="I45" s="131"/>
    </row>
    <row r="46" spans="1:9" ht="14.25">
      <c r="A46" s="119" t="str">
        <f>"  "&amp;Database!$C$103</f>
        <v>  Latest version</v>
      </c>
      <c r="B46" s="118"/>
      <c r="C46" s="118"/>
      <c r="D46" s="118"/>
      <c r="E46" s="118"/>
      <c r="F46" s="118"/>
      <c r="G46" s="118"/>
      <c r="H46" s="118"/>
      <c r="I46" s="131"/>
    </row>
    <row r="47" spans="1:9" ht="15">
      <c r="A47" s="117" t="str">
        <f>'Date Drivers'!$B$187</f>
        <v>Hardware version (HW):</v>
      </c>
      <c r="B47" s="118"/>
      <c r="C47" s="118"/>
      <c r="D47" s="118"/>
      <c r="E47" s="118"/>
      <c r="F47" s="118"/>
      <c r="G47" s="118"/>
      <c r="H47" s="118"/>
      <c r="I47" s="131"/>
    </row>
    <row r="48" spans="1:9" ht="14.25">
      <c r="A48" s="119" t="str">
        <f>"  "&amp;Database!$C$110</f>
        <v>  Latest version: v1-2.x</v>
      </c>
      <c r="B48" s="118"/>
      <c r="C48" s="118"/>
      <c r="D48" s="118"/>
      <c r="E48" s="118"/>
      <c r="F48" s="118"/>
      <c r="G48" s="118"/>
      <c r="H48" s="118"/>
      <c r="I48" s="131"/>
    </row>
    <row r="49" spans="1:9" ht="15">
      <c r="A49" s="117" t="str">
        <f>'Date Drivers'!$B$189</f>
        <v>Menu language:</v>
      </c>
      <c r="B49" s="118"/>
      <c r="C49" s="118"/>
      <c r="D49" s="118"/>
      <c r="E49" s="118"/>
      <c r="F49" s="118"/>
      <c r="G49" s="118"/>
      <c r="H49" s="118"/>
      <c r="I49" s="131"/>
    </row>
    <row r="50" spans="1:9" ht="14.25">
      <c r="A50" s="120" t="str">
        <f>"  "&amp;Database!$C$117</f>
        <v>  English, German, Polish</v>
      </c>
      <c r="B50" s="121"/>
      <c r="C50" s="121"/>
      <c r="D50" s="121"/>
      <c r="E50" s="121"/>
      <c r="F50" s="121"/>
      <c r="G50" s="121"/>
      <c r="H50" s="121"/>
      <c r="I50" s="132"/>
    </row>
    <row r="51" spans="1:9" ht="14.25">
      <c r="A51" s="118"/>
      <c r="B51" s="118"/>
      <c r="C51" s="118"/>
      <c r="D51" s="118"/>
      <c r="E51" s="118"/>
      <c r="F51" s="118"/>
      <c r="G51" s="118"/>
      <c r="H51" s="118"/>
      <c r="I51" s="131"/>
    </row>
    <row r="52" spans="1:9" ht="14.25">
      <c r="A52" s="118"/>
      <c r="B52" s="118"/>
      <c r="C52" s="118"/>
      <c r="D52" s="118"/>
      <c r="E52" s="118"/>
      <c r="F52" s="118"/>
      <c r="G52" s="118"/>
      <c r="H52" s="118"/>
      <c r="I52" s="131"/>
    </row>
    <row r="53" spans="1:9" ht="14.25">
      <c r="A53" s="124" t="s">
        <v>97</v>
      </c>
      <c r="B53" s="125"/>
      <c r="C53" s="125"/>
      <c r="D53" s="118"/>
      <c r="E53" s="118"/>
      <c r="F53" s="118"/>
      <c r="G53" s="118"/>
      <c r="H53" s="118"/>
      <c r="I53" s="131"/>
    </row>
    <row r="54" spans="1:9" ht="14.25">
      <c r="A54" s="126"/>
      <c r="B54" s="127" t="s">
        <v>9</v>
      </c>
      <c r="C54" s="128" t="s">
        <v>109</v>
      </c>
      <c r="D54" s="129"/>
      <c r="E54" s="129"/>
      <c r="F54" s="129"/>
      <c r="G54" s="129"/>
      <c r="H54" s="129"/>
      <c r="I54" s="135"/>
    </row>
    <row r="55" spans="1:9" ht="14.25">
      <c r="A55" s="118"/>
      <c r="B55" s="127" t="s">
        <v>10</v>
      </c>
      <c r="C55" s="128" t="s">
        <v>110</v>
      </c>
      <c r="D55" s="129"/>
      <c r="E55" s="129"/>
      <c r="F55" s="129"/>
      <c r="G55" s="129"/>
      <c r="H55" s="129"/>
      <c r="I55" s="135"/>
    </row>
    <row r="56" spans="1:9" ht="14.25">
      <c r="A56" s="118"/>
      <c r="B56" s="127" t="s">
        <v>11</v>
      </c>
      <c r="C56" s="128" t="s">
        <v>111</v>
      </c>
      <c r="D56" s="129"/>
      <c r="E56" s="129"/>
      <c r="F56" s="129"/>
      <c r="G56" s="129"/>
      <c r="H56" s="129"/>
      <c r="I56" s="135"/>
    </row>
    <row r="57" spans="1:9" ht="39.75" customHeight="1">
      <c r="A57" s="118"/>
      <c r="B57" s="168" t="s">
        <v>12</v>
      </c>
      <c r="C57" s="188" t="s">
        <v>113</v>
      </c>
      <c r="D57" s="189"/>
      <c r="E57" s="189"/>
      <c r="F57" s="189"/>
      <c r="G57" s="189"/>
      <c r="H57" s="189"/>
      <c r="I57" s="190"/>
    </row>
    <row r="58" spans="1:9" ht="14.25">
      <c r="A58" s="118"/>
      <c r="B58" s="127" t="s">
        <v>57</v>
      </c>
      <c r="C58" s="188" t="s">
        <v>118</v>
      </c>
      <c r="D58" s="189"/>
      <c r="E58" s="189"/>
      <c r="F58" s="189"/>
      <c r="G58" s="189"/>
      <c r="H58" s="189"/>
      <c r="I58" s="190"/>
    </row>
    <row r="59" spans="1:9" ht="14.25" customHeight="1">
      <c r="A59" s="118"/>
      <c r="B59" s="127" t="s">
        <v>58</v>
      </c>
      <c r="C59" s="188" t="s">
        <v>120</v>
      </c>
      <c r="D59" s="189"/>
      <c r="E59" s="189"/>
      <c r="F59" s="189"/>
      <c r="G59" s="189"/>
      <c r="H59" s="189"/>
      <c r="I59" s="190"/>
    </row>
    <row r="60" spans="1:9" ht="15" thickBot="1">
      <c r="A60" s="133"/>
      <c r="B60" s="133"/>
      <c r="C60" s="133"/>
      <c r="D60" s="133"/>
      <c r="E60" s="133"/>
      <c r="F60" s="133"/>
      <c r="G60" s="133"/>
      <c r="H60" s="133"/>
      <c r="I60" s="134"/>
    </row>
  </sheetData>
  <sheetProtection password="CAE7" sheet="1"/>
  <mergeCells count="3">
    <mergeCell ref="C57:I57"/>
    <mergeCell ref="C58:I58"/>
    <mergeCell ref="C59:I5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91"/>
  <sheetViews>
    <sheetView zoomScalePageLayoutView="0" workbookViewId="0" topLeftCell="A1">
      <pane xSplit="1" ySplit="1" topLeftCell="B86" activePane="bottomRight" state="frozen"/>
      <selection pane="topLeft" activeCell="A1" sqref="A1"/>
      <selection pane="topRight" activeCell="B1" sqref="B1"/>
      <selection pane="bottomLeft" activeCell="A2" sqref="A2"/>
      <selection pane="bottomRight" activeCell="B113" sqref="B113"/>
    </sheetView>
  </sheetViews>
  <sheetFormatPr defaultColWidth="9.140625" defaultRowHeight="15"/>
  <cols>
    <col min="1" max="1" width="30.7109375" style="36" bestFit="1" customWidth="1"/>
    <col min="2" max="3" width="59.7109375" style="54" bestFit="1" customWidth="1"/>
    <col min="4" max="16384" width="9.140625" style="36" customWidth="1"/>
  </cols>
  <sheetData>
    <row r="1" spans="1:3" ht="12">
      <c r="A1" s="36" t="s">
        <v>63</v>
      </c>
      <c r="B1" s="37">
        <f>Database!$C$1</f>
        <v>43468</v>
      </c>
      <c r="C1" s="37"/>
    </row>
    <row r="2" spans="2:3" ht="12">
      <c r="B2" s="38">
        <v>41966</v>
      </c>
      <c r="C2" s="38">
        <f ca="1">TODAY()</f>
        <v>43468</v>
      </c>
    </row>
    <row r="3" spans="1:3" ht="12">
      <c r="A3" s="39" t="s">
        <v>66</v>
      </c>
      <c r="B3" s="40" t="s">
        <v>99</v>
      </c>
      <c r="C3" s="40" t="s">
        <v>99</v>
      </c>
    </row>
    <row r="4" spans="2:3" ht="12">
      <c r="B4" s="41" t="s">
        <v>14</v>
      </c>
      <c r="C4" s="41" t="s">
        <v>14</v>
      </c>
    </row>
    <row r="5" spans="2:3" ht="12">
      <c r="B5" s="42"/>
      <c r="C5" s="42"/>
    </row>
    <row r="6" spans="1:3" ht="12">
      <c r="A6" s="43" t="s">
        <v>75</v>
      </c>
      <c r="B6" s="44" t="s">
        <v>15</v>
      </c>
      <c r="C6" s="44" t="s">
        <v>15</v>
      </c>
    </row>
    <row r="7" spans="2:3" ht="12">
      <c r="B7" s="45" t="s">
        <v>16</v>
      </c>
      <c r="C7" s="45" t="s">
        <v>16</v>
      </c>
    </row>
    <row r="8" spans="2:3" ht="12">
      <c r="B8" s="45" t="s">
        <v>52</v>
      </c>
      <c r="C8" s="45" t="s">
        <v>52</v>
      </c>
    </row>
    <row r="9" spans="2:3" ht="12">
      <c r="B9" s="45" t="s">
        <v>53</v>
      </c>
      <c r="C9" s="45" t="s">
        <v>53</v>
      </c>
    </row>
    <row r="10" spans="2:3" ht="12">
      <c r="B10" s="42"/>
      <c r="C10" s="42"/>
    </row>
    <row r="11" spans="1:3" ht="12">
      <c r="A11" s="46"/>
      <c r="B11" s="41" t="s">
        <v>9</v>
      </c>
      <c r="C11" s="41" t="s">
        <v>9</v>
      </c>
    </row>
    <row r="12" spans="2:3" ht="12">
      <c r="B12" s="42" t="s">
        <v>10</v>
      </c>
      <c r="C12" s="42" t="s">
        <v>10</v>
      </c>
    </row>
    <row r="13" spans="2:5" ht="12">
      <c r="B13" s="42" t="s">
        <v>11</v>
      </c>
      <c r="C13" s="42" t="s">
        <v>11</v>
      </c>
      <c r="E13" s="47"/>
    </row>
    <row r="14" spans="2:3" ht="12">
      <c r="B14" s="42" t="s">
        <v>12</v>
      </c>
      <c r="C14" s="42" t="s">
        <v>12</v>
      </c>
    </row>
    <row r="15" spans="2:3" ht="12">
      <c r="B15" s="42" t="s">
        <v>93</v>
      </c>
      <c r="C15" s="42" t="s">
        <v>93</v>
      </c>
    </row>
    <row r="16" spans="1:3" ht="12">
      <c r="A16" s="43" t="s">
        <v>76</v>
      </c>
      <c r="B16" s="48" t="s">
        <v>67</v>
      </c>
      <c r="C16" s="48" t="s">
        <v>67</v>
      </c>
    </row>
    <row r="17" spans="2:3" ht="12">
      <c r="B17" s="42"/>
      <c r="C17" s="42"/>
    </row>
    <row r="18" spans="2:3" ht="12">
      <c r="B18" s="41">
        <v>0</v>
      </c>
      <c r="C18" s="41">
        <v>0</v>
      </c>
    </row>
    <row r="19" spans="2:3" ht="12">
      <c r="B19" s="42"/>
      <c r="C19" s="42"/>
    </row>
    <row r="20" spans="1:3" ht="12">
      <c r="A20" s="43" t="s">
        <v>77</v>
      </c>
      <c r="B20" s="48" t="s">
        <v>67</v>
      </c>
      <c r="C20" s="48" t="s">
        <v>67</v>
      </c>
    </row>
    <row r="21" spans="2:3" ht="12">
      <c r="B21" s="42"/>
      <c r="C21" s="42"/>
    </row>
    <row r="22" spans="2:3" ht="12">
      <c r="B22" s="41" t="s">
        <v>9</v>
      </c>
      <c r="C22" s="41" t="s">
        <v>9</v>
      </c>
    </row>
    <row r="23" spans="2:3" ht="12">
      <c r="B23" s="42"/>
      <c r="C23" s="42"/>
    </row>
    <row r="24" spans="1:3" ht="12">
      <c r="A24" s="43" t="s">
        <v>78</v>
      </c>
      <c r="B24" s="44" t="s">
        <v>17</v>
      </c>
      <c r="C24" s="44" t="s">
        <v>17</v>
      </c>
    </row>
    <row r="25" spans="2:3" ht="12">
      <c r="B25" s="45" t="s">
        <v>18</v>
      </c>
      <c r="C25" s="45" t="s">
        <v>18</v>
      </c>
    </row>
    <row r="26" spans="2:3" ht="12">
      <c r="B26" s="45" t="s">
        <v>54</v>
      </c>
      <c r="C26" s="45" t="s">
        <v>54</v>
      </c>
    </row>
    <row r="27" spans="2:3" ht="12">
      <c r="B27" s="42"/>
      <c r="C27" s="42"/>
    </row>
    <row r="28" spans="2:3" ht="12">
      <c r="B28" s="41">
        <v>0</v>
      </c>
      <c r="C28" s="41">
        <v>0</v>
      </c>
    </row>
    <row r="29" spans="2:3" ht="12">
      <c r="B29" s="42">
        <v>1</v>
      </c>
      <c r="C29" s="42">
        <v>1</v>
      </c>
    </row>
    <row r="30" spans="2:3" ht="12">
      <c r="B30" s="42">
        <v>2</v>
      </c>
      <c r="C30" s="42">
        <v>2</v>
      </c>
    </row>
    <row r="31" spans="2:3" ht="12">
      <c r="B31" s="42"/>
      <c r="C31" s="42"/>
    </row>
    <row r="32" spans="1:3" ht="12">
      <c r="A32" s="43" t="s">
        <v>79</v>
      </c>
      <c r="B32" s="49" t="s">
        <v>67</v>
      </c>
      <c r="C32" s="49" t="s">
        <v>67</v>
      </c>
    </row>
    <row r="33" spans="2:3" ht="12">
      <c r="B33" s="42"/>
      <c r="C33" s="42"/>
    </row>
    <row r="34" spans="2:3" ht="12">
      <c r="B34" s="41" t="s">
        <v>9</v>
      </c>
      <c r="C34" s="41" t="s">
        <v>9</v>
      </c>
    </row>
    <row r="35" spans="2:3" ht="12">
      <c r="B35" s="42"/>
      <c r="C35" s="42"/>
    </row>
    <row r="36" spans="1:3" ht="12">
      <c r="A36" s="43" t="s">
        <v>80</v>
      </c>
      <c r="B36" s="49" t="s">
        <v>43</v>
      </c>
      <c r="C36" s="49" t="s">
        <v>43</v>
      </c>
    </row>
    <row r="37" spans="2:3" ht="12">
      <c r="B37" s="50" t="s">
        <v>41</v>
      </c>
      <c r="C37" s="50" t="s">
        <v>41</v>
      </c>
    </row>
    <row r="38" spans="2:3" ht="12">
      <c r="B38" s="50" t="s">
        <v>42</v>
      </c>
      <c r="C38" s="50" t="s">
        <v>42</v>
      </c>
    </row>
    <row r="39" spans="2:3" ht="12">
      <c r="B39" s="50" t="s">
        <v>55</v>
      </c>
      <c r="C39" s="50" t="s">
        <v>55</v>
      </c>
    </row>
    <row r="40" spans="2:3" ht="12">
      <c r="B40" s="42"/>
      <c r="C40" s="42"/>
    </row>
    <row r="41" spans="2:3" ht="12">
      <c r="B41" s="41">
        <v>0</v>
      </c>
      <c r="C41" s="41">
        <v>0</v>
      </c>
    </row>
    <row r="42" spans="2:3" ht="12">
      <c r="B42" s="42">
        <v>1</v>
      </c>
      <c r="C42" s="42">
        <v>1</v>
      </c>
    </row>
    <row r="43" spans="2:3" ht="12">
      <c r="B43" s="42">
        <v>2</v>
      </c>
      <c r="C43" s="42">
        <v>2</v>
      </c>
    </row>
    <row r="44" spans="2:3" ht="12">
      <c r="B44" s="42">
        <v>3</v>
      </c>
      <c r="C44" s="42">
        <v>3</v>
      </c>
    </row>
    <row r="45" spans="2:3" ht="12">
      <c r="B45" s="42"/>
      <c r="C45" s="42"/>
    </row>
    <row r="46" spans="1:3" ht="12">
      <c r="A46" s="43" t="s">
        <v>34</v>
      </c>
      <c r="B46" s="49" t="s">
        <v>107</v>
      </c>
      <c r="C46" s="49" t="s">
        <v>107</v>
      </c>
    </row>
    <row r="47" spans="2:3" ht="12">
      <c r="B47" s="42"/>
      <c r="C47" s="42"/>
    </row>
    <row r="48" spans="2:3" ht="12">
      <c r="B48" s="41" t="s">
        <v>9</v>
      </c>
      <c r="C48" s="41" t="s">
        <v>9</v>
      </c>
    </row>
    <row r="49" spans="2:3" ht="12">
      <c r="B49" s="42"/>
      <c r="C49" s="42"/>
    </row>
    <row r="50" spans="1:3" ht="12">
      <c r="A50" s="43" t="s">
        <v>35</v>
      </c>
      <c r="B50" s="49" t="s">
        <v>40</v>
      </c>
      <c r="C50" s="49" t="s">
        <v>40</v>
      </c>
    </row>
    <row r="51" spans="2:3" ht="12">
      <c r="B51" s="42"/>
      <c r="C51" s="42"/>
    </row>
    <row r="52" spans="2:3" ht="12">
      <c r="B52" s="48">
        <v>0</v>
      </c>
      <c r="C52" s="48">
        <v>0</v>
      </c>
    </row>
    <row r="53" spans="2:3" ht="12">
      <c r="B53" s="42"/>
      <c r="C53" s="42"/>
    </row>
    <row r="54" spans="1:3" ht="12">
      <c r="A54" s="43" t="s">
        <v>94</v>
      </c>
      <c r="B54" s="51" t="s">
        <v>67</v>
      </c>
      <c r="C54" s="51" t="s">
        <v>67</v>
      </c>
    </row>
    <row r="55" spans="2:3" ht="12">
      <c r="B55" s="42"/>
      <c r="C55" s="42"/>
    </row>
    <row r="56" spans="2:3" ht="12">
      <c r="B56" s="41" t="s">
        <v>9</v>
      </c>
      <c r="C56" s="41" t="s">
        <v>9</v>
      </c>
    </row>
    <row r="57" spans="2:3" ht="12">
      <c r="B57" s="42"/>
      <c r="C57" s="42"/>
    </row>
    <row r="58" spans="1:3" ht="12">
      <c r="A58" s="43" t="s">
        <v>81</v>
      </c>
      <c r="B58" s="49" t="s">
        <v>68</v>
      </c>
      <c r="C58" s="49" t="s">
        <v>68</v>
      </c>
    </row>
    <row r="59" spans="2:3" ht="12">
      <c r="B59" s="42"/>
      <c r="C59" s="42"/>
    </row>
    <row r="60" spans="2:3" ht="12">
      <c r="B60" s="41">
        <v>0</v>
      </c>
      <c r="C60" s="41">
        <v>0</v>
      </c>
    </row>
    <row r="61" spans="2:3" ht="12">
      <c r="B61" s="42"/>
      <c r="C61" s="42"/>
    </row>
    <row r="62" spans="1:3" ht="12">
      <c r="A62" s="43" t="s">
        <v>82</v>
      </c>
      <c r="B62" s="49" t="s">
        <v>69</v>
      </c>
      <c r="C62" s="49" t="s">
        <v>69</v>
      </c>
    </row>
    <row r="63" spans="2:3" ht="12">
      <c r="B63" s="50" t="s">
        <v>100</v>
      </c>
      <c r="C63" s="50" t="s">
        <v>100</v>
      </c>
    </row>
    <row r="64" spans="2:3" ht="12">
      <c r="B64" s="50" t="s">
        <v>101</v>
      </c>
      <c r="C64" s="50" t="s">
        <v>101</v>
      </c>
    </row>
    <row r="65" spans="2:3" ht="12">
      <c r="B65" s="50" t="s">
        <v>102</v>
      </c>
      <c r="C65" s="50" t="s">
        <v>102</v>
      </c>
    </row>
    <row r="66" spans="2:3" ht="12">
      <c r="B66" s="50" t="s">
        <v>103</v>
      </c>
      <c r="C66" s="50" t="s">
        <v>103</v>
      </c>
    </row>
    <row r="67" spans="2:3" ht="12">
      <c r="B67" s="50" t="s">
        <v>104</v>
      </c>
      <c r="C67" s="50" t="s">
        <v>104</v>
      </c>
    </row>
    <row r="68" spans="2:3" ht="12">
      <c r="B68" s="42"/>
      <c r="C68" s="42"/>
    </row>
    <row r="69" spans="2:3" ht="12">
      <c r="B69" s="41" t="s">
        <v>9</v>
      </c>
      <c r="C69" s="41" t="s">
        <v>9</v>
      </c>
    </row>
    <row r="70" spans="2:3" ht="12">
      <c r="B70" s="42" t="s">
        <v>10</v>
      </c>
      <c r="C70" s="42" t="s">
        <v>10</v>
      </c>
    </row>
    <row r="71" spans="2:3" ht="12">
      <c r="B71" s="42" t="s">
        <v>11</v>
      </c>
      <c r="C71" s="42" t="s">
        <v>11</v>
      </c>
    </row>
    <row r="72" spans="2:3" ht="12">
      <c r="B72" s="42" t="s">
        <v>12</v>
      </c>
      <c r="C72" s="42" t="s">
        <v>12</v>
      </c>
    </row>
    <row r="73" spans="2:3" ht="12">
      <c r="B73" s="42" t="s">
        <v>57</v>
      </c>
      <c r="C73" s="42" t="s">
        <v>57</v>
      </c>
    </row>
    <row r="74" spans="2:3" ht="12">
      <c r="B74" s="42" t="s">
        <v>58</v>
      </c>
      <c r="C74" s="42" t="s">
        <v>58</v>
      </c>
    </row>
    <row r="75" spans="2:3" ht="12">
      <c r="B75" s="42"/>
      <c r="C75" s="42"/>
    </row>
    <row r="76" spans="1:3" ht="12">
      <c r="A76" s="43" t="s">
        <v>83</v>
      </c>
      <c r="B76" s="49" t="s">
        <v>69</v>
      </c>
      <c r="C76" s="49" t="s">
        <v>69</v>
      </c>
    </row>
    <row r="77" spans="2:3" ht="12">
      <c r="B77" s="50" t="s">
        <v>45</v>
      </c>
      <c r="C77" s="50" t="s">
        <v>45</v>
      </c>
    </row>
    <row r="78" spans="2:3" ht="12">
      <c r="B78" s="50" t="s">
        <v>59</v>
      </c>
      <c r="C78" s="50" t="s">
        <v>59</v>
      </c>
    </row>
    <row r="79" spans="2:3" ht="12">
      <c r="B79" s="42"/>
      <c r="C79" s="42"/>
    </row>
    <row r="80" spans="2:3" ht="12">
      <c r="B80" s="41">
        <v>0</v>
      </c>
      <c r="C80" s="41">
        <v>0</v>
      </c>
    </row>
    <row r="81" spans="2:3" ht="12">
      <c r="B81" s="42">
        <v>1</v>
      </c>
      <c r="C81" s="42">
        <v>1</v>
      </c>
    </row>
    <row r="82" spans="2:3" ht="12">
      <c r="B82" s="42">
        <v>2</v>
      </c>
      <c r="C82" s="42">
        <v>2</v>
      </c>
    </row>
    <row r="83" spans="2:3" ht="12">
      <c r="B83" s="42"/>
      <c r="C83" s="42"/>
    </row>
    <row r="84" spans="1:3" ht="12">
      <c r="A84" s="43" t="s">
        <v>84</v>
      </c>
      <c r="B84" s="49" t="s">
        <v>31</v>
      </c>
      <c r="C84" s="49" t="s">
        <v>31</v>
      </c>
    </row>
    <row r="85" spans="2:3" ht="12">
      <c r="B85" s="42"/>
      <c r="C85" s="42"/>
    </row>
    <row r="86" spans="2:3" ht="12">
      <c r="B86" s="41" t="s">
        <v>9</v>
      </c>
      <c r="C86" s="41" t="s">
        <v>9</v>
      </c>
    </row>
    <row r="87" spans="2:3" ht="12">
      <c r="B87" s="42"/>
      <c r="C87" s="42"/>
    </row>
    <row r="88" spans="1:3" ht="12">
      <c r="A88" s="43" t="s">
        <v>85</v>
      </c>
      <c r="B88" s="49" t="s">
        <v>56</v>
      </c>
      <c r="C88" s="49" t="s">
        <v>56</v>
      </c>
    </row>
    <row r="89" spans="2:3" ht="12">
      <c r="B89" s="42"/>
      <c r="C89" s="42"/>
    </row>
    <row r="90" spans="2:3" ht="12">
      <c r="B90" s="41" t="s">
        <v>9</v>
      </c>
      <c r="C90" s="41" t="s">
        <v>9</v>
      </c>
    </row>
    <row r="91" spans="2:3" ht="12">
      <c r="B91" s="42"/>
      <c r="C91" s="42"/>
    </row>
    <row r="92" spans="1:3" ht="12">
      <c r="A92" s="43" t="s">
        <v>86</v>
      </c>
      <c r="B92" s="49" t="s">
        <v>116</v>
      </c>
      <c r="C92" s="49" t="s">
        <v>116</v>
      </c>
    </row>
    <row r="93" spans="2:3" ht="12">
      <c r="B93" s="52"/>
      <c r="C93" s="52"/>
    </row>
    <row r="94" spans="2:3" ht="12">
      <c r="B94" s="42"/>
      <c r="C94" s="42"/>
    </row>
    <row r="95" spans="2:3" ht="12">
      <c r="B95" s="42"/>
      <c r="C95" s="42"/>
    </row>
    <row r="96" spans="2:3" ht="12">
      <c r="B96" s="42"/>
      <c r="C96" s="42"/>
    </row>
    <row r="97" spans="2:3" ht="12">
      <c r="B97" s="42"/>
      <c r="C97" s="42"/>
    </row>
    <row r="98" spans="2:3" ht="12">
      <c r="B98" s="42"/>
      <c r="C98" s="42"/>
    </row>
    <row r="99" spans="2:3" ht="12">
      <c r="B99" s="42"/>
      <c r="C99" s="42"/>
    </row>
    <row r="100" spans="2:3" ht="12">
      <c r="B100" s="42"/>
      <c r="C100" s="42"/>
    </row>
    <row r="101" spans="2:3" ht="12">
      <c r="B101" s="49" t="s">
        <v>9</v>
      </c>
      <c r="C101" s="49" t="s">
        <v>9</v>
      </c>
    </row>
    <row r="102" spans="2:3" ht="12">
      <c r="B102" s="52"/>
      <c r="C102" s="52"/>
    </row>
    <row r="103" spans="2:3" ht="12">
      <c r="B103" s="42"/>
      <c r="C103" s="42"/>
    </row>
    <row r="104" spans="2:3" ht="12">
      <c r="B104" s="42"/>
      <c r="C104" s="42"/>
    </row>
    <row r="105" spans="2:3" ht="12">
      <c r="B105" s="42"/>
      <c r="C105" s="42"/>
    </row>
    <row r="106" spans="2:3" ht="12">
      <c r="B106" s="42"/>
      <c r="C106" s="42"/>
    </row>
    <row r="107" spans="2:3" ht="12">
      <c r="B107" s="42"/>
      <c r="C107" s="42"/>
    </row>
    <row r="108" spans="2:3" ht="12">
      <c r="B108" s="42"/>
      <c r="C108" s="42"/>
    </row>
    <row r="109" spans="2:3" ht="12">
      <c r="B109" s="42"/>
      <c r="C109" s="42"/>
    </row>
    <row r="110" spans="1:3" ht="12.75">
      <c r="A110" s="43" t="s">
        <v>87</v>
      </c>
      <c r="B110" s="175" t="s">
        <v>117</v>
      </c>
      <c r="C110" s="175" t="s">
        <v>117</v>
      </c>
    </row>
    <row r="111" spans="2:3" ht="12">
      <c r="B111" s="42"/>
      <c r="C111" s="42"/>
    </row>
    <row r="112" spans="2:3" ht="12">
      <c r="B112" s="42"/>
      <c r="C112" s="42"/>
    </row>
    <row r="113" spans="2:3" ht="12">
      <c r="B113" s="42"/>
      <c r="C113" s="42"/>
    </row>
    <row r="114" spans="2:3" ht="12">
      <c r="B114" s="42"/>
      <c r="C114" s="42"/>
    </row>
    <row r="115" spans="2:3" ht="12">
      <c r="B115" s="42"/>
      <c r="C115" s="42"/>
    </row>
    <row r="116" spans="2:3" ht="12">
      <c r="B116" s="42"/>
      <c r="C116" s="42"/>
    </row>
    <row r="117" spans="2:3" ht="12">
      <c r="B117" s="42"/>
      <c r="C117" s="42"/>
    </row>
    <row r="118" spans="2:3" ht="12">
      <c r="B118" s="42"/>
      <c r="C118" s="42"/>
    </row>
    <row r="119" spans="2:3" ht="12">
      <c r="B119" s="41">
        <v>0</v>
      </c>
      <c r="C119" s="41">
        <v>0</v>
      </c>
    </row>
    <row r="120" spans="2:3" ht="12">
      <c r="B120" s="42"/>
      <c r="C120" s="42"/>
    </row>
    <row r="121" spans="2:3" ht="12">
      <c r="B121" s="42"/>
      <c r="C121" s="42"/>
    </row>
    <row r="122" spans="2:3" ht="12">
      <c r="B122" s="42"/>
      <c r="C122" s="42"/>
    </row>
    <row r="123" spans="2:3" ht="12">
      <c r="B123" s="42"/>
      <c r="C123" s="42"/>
    </row>
    <row r="124" spans="2:3" ht="12">
      <c r="B124" s="42"/>
      <c r="C124" s="42"/>
    </row>
    <row r="125" spans="2:3" ht="12">
      <c r="B125" s="42"/>
      <c r="C125" s="42"/>
    </row>
    <row r="126" spans="2:3" ht="12">
      <c r="B126" s="42"/>
      <c r="C126" s="42"/>
    </row>
    <row r="127" spans="2:3" ht="12">
      <c r="B127" s="42"/>
      <c r="C127" s="42"/>
    </row>
    <row r="128" spans="2:3" ht="12">
      <c r="B128" s="42"/>
      <c r="C128" s="42"/>
    </row>
    <row r="129" spans="1:3" ht="12">
      <c r="A129" s="43" t="s">
        <v>88</v>
      </c>
      <c r="B129" s="49" t="s">
        <v>70</v>
      </c>
      <c r="C129" s="49" t="s">
        <v>112</v>
      </c>
    </row>
    <row r="130" spans="2:3" ht="12">
      <c r="B130" s="42"/>
      <c r="C130" s="42"/>
    </row>
    <row r="131" spans="2:3" ht="12">
      <c r="B131" s="42"/>
      <c r="C131" s="42"/>
    </row>
    <row r="132" spans="2:3" ht="12">
      <c r="B132" s="42"/>
      <c r="C132" s="42"/>
    </row>
    <row r="133" spans="2:3" ht="12">
      <c r="B133" s="42"/>
      <c r="C133" s="42"/>
    </row>
    <row r="134" spans="2:3" ht="12">
      <c r="B134" s="42"/>
      <c r="C134" s="42"/>
    </row>
    <row r="135" spans="2:3" ht="12">
      <c r="B135" s="41" t="s">
        <v>9</v>
      </c>
      <c r="C135" s="41" t="s">
        <v>9</v>
      </c>
    </row>
    <row r="136" spans="2:3" ht="12">
      <c r="B136" s="42"/>
      <c r="C136" s="42"/>
    </row>
    <row r="137" spans="2:3" ht="12">
      <c r="B137" s="42"/>
      <c r="C137" s="42"/>
    </row>
    <row r="138" spans="2:3" ht="12">
      <c r="B138" s="42"/>
      <c r="C138" s="42"/>
    </row>
    <row r="139" spans="2:3" ht="12">
      <c r="B139" s="42"/>
      <c r="C139" s="42"/>
    </row>
    <row r="140" spans="2:3" ht="12">
      <c r="B140" s="42"/>
      <c r="C140" s="42"/>
    </row>
    <row r="141" spans="2:3" ht="12">
      <c r="B141" s="42"/>
      <c r="C141" s="42"/>
    </row>
    <row r="142" spans="1:3" ht="12">
      <c r="A142" s="46"/>
      <c r="B142" s="142" t="s">
        <v>89</v>
      </c>
      <c r="C142" s="142" t="s">
        <v>89</v>
      </c>
    </row>
    <row r="143" spans="2:3" ht="12">
      <c r="B143" s="110" t="s">
        <v>51</v>
      </c>
      <c r="C143" s="110" t="s">
        <v>51</v>
      </c>
    </row>
    <row r="144" spans="2:3" ht="12">
      <c r="B144" s="110" t="s">
        <v>90</v>
      </c>
      <c r="C144" s="110" t="s">
        <v>90</v>
      </c>
    </row>
    <row r="145" spans="2:3" ht="12">
      <c r="B145" s="110" t="s">
        <v>50</v>
      </c>
      <c r="C145" s="110" t="s">
        <v>50</v>
      </c>
    </row>
    <row r="146" spans="2:3" ht="12">
      <c r="B146" s="111" t="s">
        <v>21</v>
      </c>
      <c r="C146" s="111" t="s">
        <v>21</v>
      </c>
    </row>
    <row r="147" spans="2:3" ht="12">
      <c r="B147" s="50" t="s">
        <v>106</v>
      </c>
      <c r="C147" s="50" t="s">
        <v>106</v>
      </c>
    </row>
    <row r="148" spans="2:3" ht="12">
      <c r="B148" s="50" t="s">
        <v>22</v>
      </c>
      <c r="C148" s="50" t="s">
        <v>22</v>
      </c>
    </row>
    <row r="149" spans="2:3" ht="12">
      <c r="B149" s="50" t="s">
        <v>23</v>
      </c>
      <c r="C149" s="50" t="s">
        <v>23</v>
      </c>
    </row>
    <row r="150" spans="2:3" ht="12">
      <c r="B150" s="111" t="s">
        <v>24</v>
      </c>
      <c r="C150" s="111" t="s">
        <v>24</v>
      </c>
    </row>
    <row r="151" spans="2:3" ht="12">
      <c r="B151" s="50" t="s">
        <v>25</v>
      </c>
      <c r="C151" s="50" t="s">
        <v>25</v>
      </c>
    </row>
    <row r="152" spans="2:3" ht="12">
      <c r="B152" s="50" t="s">
        <v>26</v>
      </c>
      <c r="C152" s="50" t="s">
        <v>26</v>
      </c>
    </row>
    <row r="153" spans="2:3" ht="12">
      <c r="B153" s="111" t="s">
        <v>27</v>
      </c>
      <c r="C153" s="111" t="s">
        <v>27</v>
      </c>
    </row>
    <row r="154" spans="2:3" ht="12">
      <c r="B154" s="50" t="s">
        <v>49</v>
      </c>
      <c r="C154" s="50" t="s">
        <v>49</v>
      </c>
    </row>
    <row r="155" spans="2:3" ht="12">
      <c r="B155" s="111" t="s">
        <v>28</v>
      </c>
      <c r="C155" s="111" t="s">
        <v>28</v>
      </c>
    </row>
    <row r="156" spans="2:3" ht="12">
      <c r="B156" s="50" t="s">
        <v>29</v>
      </c>
      <c r="C156" s="50" t="s">
        <v>29</v>
      </c>
    </row>
    <row r="157" spans="2:3" ht="12">
      <c r="B157" s="111" t="s">
        <v>91</v>
      </c>
      <c r="C157" s="111" t="s">
        <v>91</v>
      </c>
    </row>
    <row r="158" spans="2:3" ht="12">
      <c r="B158" s="50"/>
      <c r="C158" s="50"/>
    </row>
    <row r="159" spans="2:3" ht="12">
      <c r="B159" s="50"/>
      <c r="C159" s="50"/>
    </row>
    <row r="160" spans="2:3" ht="12">
      <c r="B160" s="111" t="s">
        <v>33</v>
      </c>
      <c r="C160" s="111" t="s">
        <v>33</v>
      </c>
    </row>
    <row r="161" spans="2:3" ht="12">
      <c r="B161" s="50" t="s">
        <v>37</v>
      </c>
      <c r="C161" s="50" t="s">
        <v>37</v>
      </c>
    </row>
    <row r="162" spans="2:3" ht="12">
      <c r="B162" s="111" t="s">
        <v>34</v>
      </c>
      <c r="C162" s="111" t="s">
        <v>34</v>
      </c>
    </row>
    <row r="163" spans="2:3" ht="12">
      <c r="B163" s="50" t="s">
        <v>48</v>
      </c>
      <c r="C163" s="50" t="s">
        <v>48</v>
      </c>
    </row>
    <row r="164" spans="2:3" ht="12">
      <c r="B164" s="111" t="s">
        <v>35</v>
      </c>
      <c r="C164" s="111" t="s">
        <v>35</v>
      </c>
    </row>
    <row r="165" spans="2:3" ht="12">
      <c r="B165" s="50" t="s">
        <v>36</v>
      </c>
      <c r="C165" s="50" t="s">
        <v>36</v>
      </c>
    </row>
    <row r="166" spans="2:3" ht="12">
      <c r="B166" s="111" t="s">
        <v>30</v>
      </c>
      <c r="C166" s="111" t="s">
        <v>30</v>
      </c>
    </row>
    <row r="167" spans="2:3" ht="12">
      <c r="B167" s="50" t="s">
        <v>31</v>
      </c>
      <c r="C167" s="50" t="s">
        <v>31</v>
      </c>
    </row>
    <row r="168" spans="2:3" ht="12">
      <c r="B168" s="111" t="s">
        <v>13</v>
      </c>
      <c r="C168" s="111" t="s">
        <v>13</v>
      </c>
    </row>
    <row r="169" spans="2:3" ht="12">
      <c r="B169" s="50" t="s">
        <v>38</v>
      </c>
      <c r="C169" s="50" t="s">
        <v>38</v>
      </c>
    </row>
    <row r="170" spans="2:3" ht="12">
      <c r="B170" s="50" t="s">
        <v>39</v>
      </c>
      <c r="C170" s="50" t="s">
        <v>39</v>
      </c>
    </row>
    <row r="171" spans="2:3" ht="12">
      <c r="B171" s="111" t="s">
        <v>32</v>
      </c>
      <c r="C171" s="111" t="s">
        <v>32</v>
      </c>
    </row>
    <row r="172" spans="2:3" ht="12">
      <c r="B172" s="136" t="s">
        <v>51</v>
      </c>
      <c r="C172" s="136" t="s">
        <v>51</v>
      </c>
    </row>
    <row r="173" spans="2:3" ht="12">
      <c r="B173" s="111" t="s">
        <v>95</v>
      </c>
      <c r="C173" s="111" t="s">
        <v>95</v>
      </c>
    </row>
    <row r="174" spans="2:3" ht="12">
      <c r="B174" s="110"/>
      <c r="C174" s="110"/>
    </row>
    <row r="175" spans="2:3" ht="12">
      <c r="B175" s="111" t="s">
        <v>94</v>
      </c>
      <c r="C175" s="111" t="s">
        <v>94</v>
      </c>
    </row>
    <row r="176" spans="2:3" ht="12">
      <c r="B176" s="110"/>
      <c r="C176" s="110"/>
    </row>
    <row r="177" spans="2:3" ht="12">
      <c r="B177" s="111" t="s">
        <v>81</v>
      </c>
      <c r="C177" s="111" t="s">
        <v>81</v>
      </c>
    </row>
    <row r="178" spans="2:3" ht="12">
      <c r="B178" s="110"/>
      <c r="C178" s="110"/>
    </row>
    <row r="179" spans="2:3" ht="12">
      <c r="B179" s="111" t="s">
        <v>82</v>
      </c>
      <c r="C179" s="111" t="s">
        <v>82</v>
      </c>
    </row>
    <row r="180" spans="2:3" ht="12">
      <c r="B180" s="110"/>
      <c r="C180" s="110"/>
    </row>
    <row r="181" spans="2:3" ht="12">
      <c r="B181" s="111" t="s">
        <v>83</v>
      </c>
      <c r="C181" s="111" t="s">
        <v>83</v>
      </c>
    </row>
    <row r="182" spans="2:3" ht="12">
      <c r="B182" s="110"/>
      <c r="C182" s="110"/>
    </row>
    <row r="183" spans="2:3" ht="12">
      <c r="B183" s="111" t="s">
        <v>85</v>
      </c>
      <c r="C183" s="111" t="s">
        <v>85</v>
      </c>
    </row>
    <row r="184" spans="2:3" ht="12">
      <c r="B184" s="110"/>
      <c r="C184" s="110"/>
    </row>
    <row r="185" spans="2:3" ht="12">
      <c r="B185" s="111" t="s">
        <v>86</v>
      </c>
      <c r="C185" s="111" t="s">
        <v>86</v>
      </c>
    </row>
    <row r="186" spans="2:3" ht="12">
      <c r="B186" s="110"/>
      <c r="C186" s="110"/>
    </row>
    <row r="187" spans="2:3" ht="12">
      <c r="B187" s="111" t="s">
        <v>87</v>
      </c>
      <c r="C187" s="111" t="s">
        <v>87</v>
      </c>
    </row>
    <row r="188" spans="2:3" ht="12">
      <c r="B188" s="110"/>
      <c r="C188" s="110"/>
    </row>
    <row r="189" spans="2:3" ht="12">
      <c r="B189" s="111" t="s">
        <v>88</v>
      </c>
      <c r="C189" s="111" t="s">
        <v>88</v>
      </c>
    </row>
    <row r="190" spans="2:3" ht="12">
      <c r="B190" s="112"/>
      <c r="C190" s="112"/>
    </row>
    <row r="191" spans="2:3" ht="12">
      <c r="B191" s="53"/>
      <c r="C191" s="53"/>
    </row>
  </sheetData>
  <sheetProtection password="C927" sheet="1"/>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Stegmann Pineda</dc:creator>
  <cp:keywords/>
  <dc:description/>
  <cp:lastModifiedBy>Round, Nicola (GE Power)</cp:lastModifiedBy>
  <cp:lastPrinted>2014-01-16T08:42:09Z</cp:lastPrinted>
  <dcterms:created xsi:type="dcterms:W3CDTF">2012-11-20T14:50:48Z</dcterms:created>
  <dcterms:modified xsi:type="dcterms:W3CDTF">2019-01-03T10:03:11Z</dcterms:modified>
  <cp:category/>
  <cp:version/>
  <cp:contentType/>
  <cp:contentStatus/>
</cp:coreProperties>
</file>